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Sprendimo projektas gegužė\"/>
    </mc:Choice>
  </mc:AlternateContent>
  <bookViews>
    <workbookView xWindow="0" yWindow="0" windowWidth="30720" windowHeight="13392"/>
  </bookViews>
  <sheets>
    <sheet name="1 priedas" sheetId="1" r:id="rId1"/>
    <sheet name="3 priedas" sheetId="2" r:id="rId2"/>
    <sheet name="4 priedas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2" l="1"/>
  <c r="F226" i="2" l="1"/>
  <c r="F57" i="4" l="1"/>
  <c r="F62" i="4" s="1"/>
  <c r="F51" i="4"/>
  <c r="F46" i="4"/>
  <c r="G13" i="4"/>
  <c r="G14" i="4"/>
  <c r="G16" i="4"/>
  <c r="G17" i="4"/>
  <c r="G18" i="4"/>
  <c r="G19" i="4"/>
  <c r="G20" i="4"/>
  <c r="G21" i="4"/>
  <c r="G23" i="4"/>
  <c r="G24" i="4"/>
  <c r="G25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7" i="4"/>
  <c r="G48" i="4"/>
  <c r="G50" i="4"/>
  <c r="G11" i="4"/>
  <c r="E61" i="4"/>
  <c r="G61" i="4" s="1"/>
  <c r="E59" i="4"/>
  <c r="G59" i="4" s="1"/>
  <c r="E58" i="4"/>
  <c r="G58" i="4" s="1"/>
  <c r="E57" i="4"/>
  <c r="E51" i="4"/>
  <c r="E49" i="4"/>
  <c r="G49" i="4" s="1"/>
  <c r="E46" i="4"/>
  <c r="E26" i="4"/>
  <c r="G26" i="4" s="1"/>
  <c r="E15" i="4"/>
  <c r="E60" i="4" s="1"/>
  <c r="G60" i="4" s="1"/>
  <c r="E12" i="4"/>
  <c r="E56" i="4" s="1"/>
  <c r="G46" i="4" l="1"/>
  <c r="F52" i="4"/>
  <c r="G57" i="4"/>
  <c r="G15" i="4"/>
  <c r="G51" i="4"/>
  <c r="E62" i="4"/>
  <c r="G62" i="4" s="1"/>
  <c r="E22" i="4"/>
  <c r="G12" i="4"/>
  <c r="G56" i="4"/>
  <c r="F235" i="2"/>
  <c r="E235" i="2"/>
  <c r="F233" i="2"/>
  <c r="F28" i="2"/>
  <c r="F218" i="2" s="1"/>
  <c r="G27" i="2"/>
  <c r="F36" i="2"/>
  <c r="F219" i="2" s="1"/>
  <c r="F43" i="2"/>
  <c r="F220" i="2" s="1"/>
  <c r="F22" i="2"/>
  <c r="F79" i="2"/>
  <c r="F236" i="2"/>
  <c r="E236" i="2"/>
  <c r="F238" i="2"/>
  <c r="E238" i="2"/>
  <c r="F232" i="2"/>
  <c r="F230" i="2"/>
  <c r="F128" i="2"/>
  <c r="D44" i="1"/>
  <c r="G25" i="2"/>
  <c r="G26" i="2"/>
  <c r="F55" i="2"/>
  <c r="G207" i="2"/>
  <c r="G208" i="2"/>
  <c r="F212" i="2"/>
  <c r="F225" i="2" s="1"/>
  <c r="F188" i="2"/>
  <c r="F223" i="2" l="1"/>
  <c r="E52" i="4"/>
  <c r="G52" i="4" s="1"/>
  <c r="G22" i="4"/>
  <c r="F243" i="2"/>
  <c r="F183" i="2"/>
  <c r="F19" i="2"/>
  <c r="F61" i="2" l="1"/>
  <c r="G13" i="2"/>
  <c r="G14" i="2"/>
  <c r="G15" i="2"/>
  <c r="G16" i="2"/>
  <c r="G17" i="2"/>
  <c r="G18" i="2"/>
  <c r="G20" i="2"/>
  <c r="G21" i="2"/>
  <c r="G24" i="2"/>
  <c r="G30" i="2"/>
  <c r="G31" i="2"/>
  <c r="G32" i="2"/>
  <c r="G33" i="2"/>
  <c r="G34" i="2"/>
  <c r="G35" i="2"/>
  <c r="G37" i="2"/>
  <c r="G38" i="2"/>
  <c r="G39" i="2"/>
  <c r="G40" i="2"/>
  <c r="G41" i="2"/>
  <c r="G42" i="2"/>
  <c r="G44" i="2"/>
  <c r="G45" i="2"/>
  <c r="G47" i="2"/>
  <c r="G49" i="2"/>
  <c r="G50" i="2"/>
  <c r="G51" i="2"/>
  <c r="G52" i="2"/>
  <c r="G53" i="2"/>
  <c r="G57" i="2"/>
  <c r="G58" i="2"/>
  <c r="G59" i="2"/>
  <c r="G60" i="2"/>
  <c r="G62" i="2"/>
  <c r="G64" i="2"/>
  <c r="G65" i="2"/>
  <c r="G69" i="2"/>
  <c r="G70" i="2"/>
  <c r="G72" i="2"/>
  <c r="G74" i="2"/>
  <c r="G76" i="2"/>
  <c r="G78" i="2"/>
  <c r="G80" i="2"/>
  <c r="G82" i="2"/>
  <c r="G84" i="2"/>
  <c r="G86" i="2"/>
  <c r="G88" i="2"/>
  <c r="G90" i="2"/>
  <c r="G91" i="2"/>
  <c r="G93" i="2"/>
  <c r="G94" i="2"/>
  <c r="G96" i="2"/>
  <c r="G97" i="2"/>
  <c r="G99" i="2"/>
  <c r="G101" i="2"/>
  <c r="G103" i="2"/>
  <c r="G104" i="2"/>
  <c r="G108" i="2"/>
  <c r="G111" i="2"/>
  <c r="G112" i="2"/>
  <c r="G114" i="2"/>
  <c r="G115" i="2"/>
  <c r="G116" i="2"/>
  <c r="G117" i="2"/>
  <c r="G119" i="2"/>
  <c r="G120" i="2"/>
  <c r="G122" i="2"/>
  <c r="G124" i="2"/>
  <c r="G125" i="2"/>
  <c r="G126" i="2"/>
  <c r="G127" i="2"/>
  <c r="G129" i="2"/>
  <c r="G130" i="2"/>
  <c r="G131" i="2"/>
  <c r="G132" i="2"/>
  <c r="G135" i="2"/>
  <c r="G136" i="2"/>
  <c r="G137" i="2"/>
  <c r="G140" i="2"/>
  <c r="G141" i="2"/>
  <c r="G142" i="2"/>
  <c r="G145" i="2"/>
  <c r="G146" i="2"/>
  <c r="G147" i="2"/>
  <c r="G150" i="2"/>
  <c r="G152" i="2"/>
  <c r="G155" i="2"/>
  <c r="G157" i="2"/>
  <c r="G160" i="2"/>
  <c r="G162" i="2"/>
  <c r="G165" i="2"/>
  <c r="G167" i="2"/>
  <c r="G170" i="2"/>
  <c r="G172" i="2"/>
  <c r="G175" i="2"/>
  <c r="G177" i="2"/>
  <c r="G180" i="2"/>
  <c r="G182" i="2"/>
  <c r="G185" i="2"/>
  <c r="G187" i="2"/>
  <c r="G190" i="2"/>
  <c r="G192" i="2"/>
  <c r="G195" i="2"/>
  <c r="G197" i="2"/>
  <c r="G199" i="2"/>
  <c r="G200" i="2"/>
  <c r="G201" i="2"/>
  <c r="G204" i="2"/>
  <c r="G205" i="2"/>
  <c r="G206" i="2"/>
  <c r="G210" i="2"/>
  <c r="G211" i="2"/>
  <c r="G11" i="2"/>
  <c r="D45" i="1"/>
  <c r="D48" i="1" s="1"/>
  <c r="E11" i="1"/>
  <c r="C44" i="1"/>
  <c r="C35" i="1"/>
  <c r="C30" i="1"/>
  <c r="C25" i="1"/>
  <c r="C18" i="1"/>
  <c r="C13" i="1"/>
  <c r="F68" i="2" l="1"/>
  <c r="F213" i="2" s="1"/>
  <c r="F227" i="2"/>
  <c r="E44" i="1"/>
  <c r="C22" i="1"/>
  <c r="C38" i="1" s="1"/>
  <c r="C45" i="1" s="1"/>
  <c r="C48" i="1" s="1"/>
  <c r="E242" i="2" l="1"/>
  <c r="G242" i="2" s="1"/>
  <c r="E241" i="2"/>
  <c r="G241" i="2" s="1"/>
  <c r="E240" i="2"/>
  <c r="G240" i="2" s="1"/>
  <c r="E239" i="2"/>
  <c r="G239" i="2" s="1"/>
  <c r="G238" i="2"/>
  <c r="E237" i="2"/>
  <c r="G237" i="2" s="1"/>
  <c r="G236" i="2"/>
  <c r="G235" i="2"/>
  <c r="E233" i="2"/>
  <c r="G233" i="2" s="1"/>
  <c r="E212" i="2"/>
  <c r="G212" i="2" s="1"/>
  <c r="E203" i="2"/>
  <c r="E209" i="2" s="1"/>
  <c r="E202" i="2"/>
  <c r="G202" i="2" s="1"/>
  <c r="E196" i="2"/>
  <c r="E194" i="2"/>
  <c r="G194" i="2" s="1"/>
  <c r="E191" i="2"/>
  <c r="G191" i="2" s="1"/>
  <c r="E189" i="2"/>
  <c r="G189" i="2" s="1"/>
  <c r="E186" i="2"/>
  <c r="G186" i="2" s="1"/>
  <c r="E184" i="2"/>
  <c r="E181" i="2"/>
  <c r="G181" i="2" s="1"/>
  <c r="E176" i="2"/>
  <c r="G176" i="2" s="1"/>
  <c r="E174" i="2"/>
  <c r="E171" i="2"/>
  <c r="G171" i="2" s="1"/>
  <c r="E169" i="2"/>
  <c r="E166" i="2"/>
  <c r="G166" i="2" s="1"/>
  <c r="E164" i="2"/>
  <c r="E161" i="2"/>
  <c r="G161" i="2" s="1"/>
  <c r="E159" i="2"/>
  <c r="E156" i="2"/>
  <c r="G156" i="2" s="1"/>
  <c r="E154" i="2"/>
  <c r="E151" i="2"/>
  <c r="G151" i="2" s="1"/>
  <c r="E149" i="2"/>
  <c r="E144" i="2"/>
  <c r="E139" i="2"/>
  <c r="E134" i="2"/>
  <c r="E133" i="2"/>
  <c r="G133" i="2" s="1"/>
  <c r="E128" i="2"/>
  <c r="G128" i="2" s="1"/>
  <c r="E121" i="2"/>
  <c r="E118" i="2"/>
  <c r="G118" i="2" s="1"/>
  <c r="E110" i="2"/>
  <c r="E107" i="2"/>
  <c r="G107" i="2" s="1"/>
  <c r="E106" i="2"/>
  <c r="E105" i="2"/>
  <c r="G105" i="2" s="1"/>
  <c r="E100" i="2"/>
  <c r="E98" i="2"/>
  <c r="G98" i="2" s="1"/>
  <c r="E95" i="2"/>
  <c r="G95" i="2" s="1"/>
  <c r="E92" i="2"/>
  <c r="G92" i="2" s="1"/>
  <c r="E89" i="2"/>
  <c r="G89" i="2" s="1"/>
  <c r="E87" i="2"/>
  <c r="G87" i="2" s="1"/>
  <c r="E85" i="2"/>
  <c r="G85" i="2" s="1"/>
  <c r="E83" i="2"/>
  <c r="G83" i="2" s="1"/>
  <c r="E81" i="2"/>
  <c r="G81" i="2" s="1"/>
  <c r="G79" i="2"/>
  <c r="E77" i="2"/>
  <c r="G77" i="2" s="1"/>
  <c r="E75" i="2"/>
  <c r="G75" i="2" s="1"/>
  <c r="E73" i="2"/>
  <c r="G73" i="2" s="1"/>
  <c r="E71" i="2"/>
  <c r="G71" i="2" s="1"/>
  <c r="E66" i="2"/>
  <c r="E63" i="2"/>
  <c r="E56" i="2"/>
  <c r="G56" i="2" s="1"/>
  <c r="E54" i="2"/>
  <c r="G54" i="2" s="1"/>
  <c r="E48" i="2"/>
  <c r="E46" i="2"/>
  <c r="E43" i="2"/>
  <c r="E23" i="2"/>
  <c r="E22" i="2"/>
  <c r="G22" i="2" s="1"/>
  <c r="E19" i="2"/>
  <c r="G19" i="2" s="1"/>
  <c r="E12" i="2"/>
  <c r="G12" i="2" s="1"/>
  <c r="E230" i="2" l="1"/>
  <c r="E28" i="2"/>
  <c r="E55" i="2"/>
  <c r="G55" i="2" s="1"/>
  <c r="E231" i="2"/>
  <c r="G231" i="2" s="1"/>
  <c r="E198" i="2"/>
  <c r="G198" i="2" s="1"/>
  <c r="G196" i="2"/>
  <c r="G209" i="2"/>
  <c r="G203" i="2"/>
  <c r="E153" i="2"/>
  <c r="G153" i="2" s="1"/>
  <c r="G149" i="2"/>
  <c r="E188" i="2"/>
  <c r="G188" i="2" s="1"/>
  <c r="G184" i="2"/>
  <c r="E109" i="2"/>
  <c r="G109" i="2" s="1"/>
  <c r="G106" i="2"/>
  <c r="E163" i="2"/>
  <c r="G163" i="2" s="1"/>
  <c r="G159" i="2"/>
  <c r="E113" i="2"/>
  <c r="G113" i="2" s="1"/>
  <c r="G110" i="2"/>
  <c r="E168" i="2"/>
  <c r="G168" i="2" s="1"/>
  <c r="G164" i="2"/>
  <c r="G23" i="2"/>
  <c r="E36" i="2"/>
  <c r="G29" i="2"/>
  <c r="E123" i="2"/>
  <c r="G123" i="2" s="1"/>
  <c r="G121" i="2"/>
  <c r="E173" i="2"/>
  <c r="G173" i="2" s="1"/>
  <c r="G169" i="2"/>
  <c r="E220" i="2"/>
  <c r="G220" i="2" s="1"/>
  <c r="G43" i="2"/>
  <c r="E221" i="2"/>
  <c r="G221" i="2" s="1"/>
  <c r="G46" i="2"/>
  <c r="E178" i="2"/>
  <c r="G178" i="2" s="1"/>
  <c r="G174" i="2"/>
  <c r="G48" i="2"/>
  <c r="E138" i="2"/>
  <c r="G138" i="2" s="1"/>
  <c r="G134" i="2"/>
  <c r="E143" i="2"/>
  <c r="G143" i="2" s="1"/>
  <c r="G139" i="2"/>
  <c r="E183" i="2"/>
  <c r="G183" i="2" s="1"/>
  <c r="G179" i="2"/>
  <c r="E148" i="2"/>
  <c r="G148" i="2" s="1"/>
  <c r="G144" i="2"/>
  <c r="E225" i="2"/>
  <c r="G225" i="2" s="1"/>
  <c r="G63" i="2"/>
  <c r="E67" i="2"/>
  <c r="G66" i="2"/>
  <c r="E102" i="2"/>
  <c r="G102" i="2" s="1"/>
  <c r="G100" i="2"/>
  <c r="E158" i="2"/>
  <c r="G158" i="2" s="1"/>
  <c r="G154" i="2"/>
  <c r="G230" i="2"/>
  <c r="E216" i="2"/>
  <c r="G216" i="2" s="1"/>
  <c r="E193" i="2"/>
  <c r="G193" i="2" s="1"/>
  <c r="E217" i="2"/>
  <c r="G217" i="2" s="1"/>
  <c r="E234" i="2"/>
  <c r="G234" i="2" s="1"/>
  <c r="E61" i="2"/>
  <c r="E232" i="2"/>
  <c r="E243" i="2" l="1"/>
  <c r="G243" i="2" s="1"/>
  <c r="G232" i="2"/>
  <c r="E223" i="2"/>
  <c r="G223" i="2" s="1"/>
  <c r="E219" i="2"/>
  <c r="G219" i="2" s="1"/>
  <c r="G36" i="2"/>
  <c r="E218" i="2"/>
  <c r="G218" i="2" s="1"/>
  <c r="G28" i="2"/>
  <c r="E224" i="2"/>
  <c r="G61" i="2"/>
  <c r="E222" i="2"/>
  <c r="G222" i="2" s="1"/>
  <c r="E226" i="2"/>
  <c r="G226" i="2" s="1"/>
  <c r="G67" i="2"/>
  <c r="E68" i="2"/>
  <c r="E213" i="2" l="1"/>
  <c r="G213" i="2" s="1"/>
  <c r="G68" i="2"/>
  <c r="E227" i="2"/>
  <c r="G227" i="2" s="1"/>
  <c r="G224" i="2"/>
  <c r="E34" i="1"/>
  <c r="E13" i="1" l="1"/>
  <c r="E15" i="1"/>
  <c r="E16" i="1"/>
  <c r="E17" i="1"/>
  <c r="E18" i="1"/>
  <c r="E20" i="1"/>
  <c r="E21" i="1"/>
  <c r="E22" i="1"/>
  <c r="E24" i="1"/>
  <c r="E25" i="1"/>
  <c r="E27" i="1"/>
  <c r="E28" i="1"/>
  <c r="E29" i="1"/>
  <c r="E30" i="1"/>
  <c r="E31" i="1"/>
  <c r="E32" i="1"/>
  <c r="E33" i="1"/>
  <c r="E35" i="1"/>
  <c r="E37" i="1"/>
  <c r="E38" i="1"/>
  <c r="E40" i="1"/>
  <c r="E42" i="1"/>
  <c r="E43" i="1"/>
  <c r="E47" i="1"/>
  <c r="E48" i="1"/>
  <c r="E12" i="1"/>
  <c r="E41" i="1" l="1"/>
  <c r="E36" i="1"/>
  <c r="E26" i="1"/>
  <c r="E19" i="1"/>
  <c r="E14" i="1" l="1"/>
  <c r="E45" i="1"/>
  <c r="E23" i="1" l="1"/>
  <c r="E39" i="1" l="1"/>
  <c r="E46" i="1" l="1"/>
</calcChain>
</file>

<file path=xl/sharedStrings.xml><?xml version="1.0" encoding="utf-8"?>
<sst xmlns="http://schemas.openxmlformats.org/spreadsheetml/2006/main" count="643" uniqueCount="230">
  <si>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</si>
  <si>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</si>
  <si>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</si>
  <si>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</si>
  <si>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</si>
  <si>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</si>
  <si>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</si>
  <si>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</si>
  <si>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</si>
  <si>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</si>
  <si>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</si>
  <si>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</si>
  <si>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</si>
  <si>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</si>
  <si>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</si>
  <si>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</si>
  <si>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</si>
  <si>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</si>
  <si>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</si>
  <si>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</si>
  <si>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</si>
  <si>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</si>
  <si>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</si>
  <si>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</si>
  <si>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</si>
  <si>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</si>
  <si>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</si>
  <si>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</si>
  <si>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</si>
  <si>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</si>
  <si>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</si>
  <si>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</si>
  <si>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</si>
  <si>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</si>
  <si>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</si>
  <si>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</si>
  <si>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</si>
  <si>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</si>
  <si>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</si>
  <si>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</si>
  <si>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</si>
  <si>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</si>
  <si>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</si>
  <si>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</si>
  <si>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</si>
  <si>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</si>
  <si>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</si>
  <si>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Žemės realizavimo pajamos</t>
  </si>
  <si>
    <t>Kitos ilgalaikio turto realizavimo pajamos</t>
  </si>
  <si>
    <t>11.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</si>
  <si>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</si>
  <si>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</si>
  <si>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</si>
  <si>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</si>
  <si>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</si>
  <si>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</si>
  <si>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</si>
  <si>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</si>
  <si>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</si>
  <si>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</si>
  <si>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</si>
  <si>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18.</t>
  </si>
  <si>
    <t>19.</t>
  </si>
  <si>
    <t>Skolintos lėšos investiciniams projektams finansuoti</t>
  </si>
  <si>
    <t>20.</t>
  </si>
  <si>
    <t>Metų pradžios apyvartinių lėšų likutis</t>
  </si>
  <si>
    <t>21.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</si>
  <si>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</si>
  <si>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</si>
  <si>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</si>
  <si>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</si>
  <si>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</si>
  <si>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</si>
  <si>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</si>
  <si>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</si>
  <si>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</si>
  <si>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</si>
  <si>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</si>
  <si>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Seniūnijų programa (02)</t>
  </si>
  <si>
    <t>BP</t>
  </si>
  <si>
    <t>Žemės ūkio programa (03)</t>
  </si>
  <si>
    <t>VA</t>
  </si>
  <si>
    <t xml:space="preserve">E </t>
  </si>
  <si>
    <t>Strateginio planavimo ir investicijų programa (04)</t>
  </si>
  <si>
    <t>P</t>
  </si>
  <si>
    <t>SIP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</si>
  <si>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</si>
  <si>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</si>
  <si>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</si>
  <si>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</si>
  <si>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</si>
  <si>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</si>
  <si>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K</t>
  </si>
  <si>
    <t>VB</t>
  </si>
  <si>
    <t>Viešoji įstaiga Pranciškonų gimnazija</t>
  </si>
  <si>
    <t>Socialinės paramos programa (09)</t>
  </si>
  <si>
    <t>Kūno kultūros ir sporto programa (10)</t>
  </si>
  <si>
    <t>Architektūros ir teritorijų planavimo programa (11)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</si>
  <si>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</si>
  <si>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</si>
  <si>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</si>
  <si>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</si>
  <si>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</si>
  <si>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</si>
  <si>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</si>
  <si>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</si>
  <si>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</si>
  <si>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</si>
  <si>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</si>
  <si>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</si>
  <si>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</si>
  <si>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</si>
  <si>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</si>
  <si>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</si>
  <si>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</si>
  <si>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</si>
  <si>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</si>
  <si>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</si>
  <si>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</si>
  <si>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</si>
  <si>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</si>
  <si>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</si>
  <si>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</si>
  <si>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</si>
  <si>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</si>
  <si>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</si>
  <si>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</si>
  <si>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</si>
  <si>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</si>
  <si>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</si>
  <si>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</si>
  <si>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</si>
  <si>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</si>
  <si>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</si>
  <si>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</si>
  <si>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</si>
  <si>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</si>
  <si>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</si>
  <si>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</si>
  <si>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</si>
  <si>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</si>
  <si>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</si>
  <si>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</si>
  <si>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</si>
  <si>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</si>
  <si>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</si>
  <si>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</si>
  <si>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</si>
  <si>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</si>
  <si>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</si>
  <si>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Kretingos r. sav. Kretingos socialinių paslaugų centras</t>
  </si>
  <si>
    <t>IŠ VISO:</t>
  </si>
  <si>
    <t>Programa</t>
  </si>
  <si>
    <t>Pavadinimas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</si>
  <si>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</si>
  <si>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</si>
  <si>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</si>
  <si>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</si>
  <si>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</si>
  <si>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</si>
  <si>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</si>
  <si>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</si>
  <si>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</si>
  <si>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</si>
  <si>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</si>
  <si>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</si>
  <si>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</si>
  <si>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</si>
  <si>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</si>
  <si>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</si>
  <si>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</si>
  <si>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</si>
  <si>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</si>
  <si>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</si>
  <si>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</si>
  <si>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</si>
  <si>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</si>
  <si>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</si>
  <si>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Skolintos lėšos</t>
  </si>
  <si>
    <t xml:space="preserve">Europos Sąjungos ir kitos finansinės paramos lėšos (Europos Sąjungos finansinės paramos lėšos) 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</si>
  <si>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</si>
  <si>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</si>
  <si>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</si>
  <si>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</si>
  <si>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</si>
  <si>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</si>
  <si>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</si>
  <si>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</si>
  <si>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</si>
  <si>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</si>
  <si>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</si>
  <si>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Projekto lyginamasis variantas</t>
  </si>
  <si>
    <t xml:space="preserve">                                                           1 priedas</t>
  </si>
  <si>
    <t xml:space="preserve">                                                           2026 m. sausio 29 d. sprendimu Nr. T2-2</t>
  </si>
  <si>
    <t>2026 metų Kretingos rajono savivaldybės biudžeto asignavimų paskirstymas</t>
  </si>
  <si>
    <t>Viso pagal programą:</t>
  </si>
  <si>
    <t>KPPP</t>
  </si>
  <si>
    <t>35.</t>
  </si>
  <si>
    <t>Kretingos r. sav. Kretingos rajono sporto centras</t>
  </si>
  <si>
    <t>2026 m. asignavimai, eurais</t>
  </si>
  <si>
    <t>Kelių priežiūros ir plėtros programos lėšos</t>
  </si>
  <si>
    <t>Valstybės biudžeto dotacijos ir kitos lėšos</t>
  </si>
  <si>
    <t>Savarankiškoms funkcijoms atlikti (savivaldybės ilgalaikio turto pardavimo lėšos)</t>
  </si>
  <si>
    <t xml:space="preserve">                                                                  2026 m. sausio 29 d. sprendimu Nr. T2-2</t>
  </si>
  <si>
    <t>Iš viso, Eur</t>
  </si>
  <si>
    <t>Savivaldybės infrastruktūros plėtros įmoka</t>
  </si>
  <si>
    <t>9.1</t>
  </si>
  <si>
    <t>9.2</t>
  </si>
  <si>
    <t>9.3</t>
  </si>
  <si>
    <t>11.1</t>
  </si>
  <si>
    <t>11.2</t>
  </si>
  <si>
    <t xml:space="preserve">Pajamos savarankiškoms funkcijoms vykdyti (5+6+7+8+9+10+11) </t>
  </si>
  <si>
    <t>Dotacijos (13+14+15+16+17)</t>
  </si>
  <si>
    <t>IŠ VISO 2026 M. PAJAMŲ (12+18)</t>
  </si>
  <si>
    <t>IŠ VISO</t>
  </si>
  <si>
    <t xml:space="preserve">                                 Kretingos rajono savivaldybės 2026 m. biudžeto pajamos</t>
  </si>
  <si>
    <t>Valstybės biudžeto lėšos projektams vykdyti</t>
  </si>
  <si>
    <t>Kretingos rajono savivaldybės 2026 m. biudžeto apyvartinių lėšų paskirstymas</t>
  </si>
  <si>
    <t>Lėšų šaltinis</t>
  </si>
  <si>
    <t>Suma, Eur</t>
  </si>
  <si>
    <t>VISO pagal Kultūros programa (07)</t>
  </si>
  <si>
    <t>Kretingos r. sav. Kūlupėnų M. Valančiaus pagrindinė mokykla</t>
  </si>
  <si>
    <t>VISO pagal Švietimo programa (08)</t>
  </si>
  <si>
    <t>VISO pagal Socialinės paramos programa (09)</t>
  </si>
  <si>
    <t>VISO pagal Kūno kultūros ir sporto programa (10)</t>
  </si>
  <si>
    <t>Infrastruktūros įmokos, skirtos inžinerinei infrastruktūrai finansuoti ir kompensacijoms sumokėti</t>
  </si>
  <si>
    <t xml:space="preserve"> Projekto lyginamasis variantas</t>
  </si>
  <si>
    <t xml:space="preserve">                                                           4 priedas</t>
  </si>
  <si>
    <t xml:space="preserve">                                                           2026 m. gegužės        d. sprendimo Nr. T2-      redakcija)</t>
  </si>
  <si>
    <t xml:space="preserve">                                                                                2026 m. gegužės 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</si>
</sst>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8" fillId="0" borderId="0"/>
    <xf numFmtId="0" fontId="13" fillId="0" borderId="0"/>
    <xf numFmtId="0" fontId="14" fillId="4" borderId="27" applyNumberFormat="0" applyAlignment="0" applyProtection="0"/>
    <xf numFmtId="0" fontId="15" fillId="0" borderId="0" applyNumberFormat="0"/>
    <xf numFmtId="0" fontId="16" fillId="0" borderId="0"/>
  </cellStyleXfs>
  <cellXfs count="249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3"/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15" xfId="1" applyFont="1" applyFill="1" applyBorder="1" applyAlignment="1" applyProtection="1">
      <alignment horizontal="left" vertical="center" wrapText="1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26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right" vertical="center"/>
    </xf>
    <xf numFmtId="0" fontId="4" fillId="0" borderId="29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3" fontId="2" fillId="3" borderId="2" xfId="0" applyNumberFormat="1" applyFont="1" applyFill="1" applyBorder="1" applyAlignment="1">
      <alignment horizontal="center" vertical="top" wrapText="1"/>
    </xf>
    <xf numFmtId="3" fontId="6" fillId="3" borderId="2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6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3" fontId="6" fillId="0" borderId="0" xfId="2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/>
    </xf>
    <xf numFmtId="3" fontId="11" fillId="0" borderId="41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 vertical="top" wrapText="1"/>
    </xf>
    <xf numFmtId="0" fontId="0" fillId="0" borderId="12" xfId="0" applyBorder="1"/>
    <xf numFmtId="3" fontId="11" fillId="0" borderId="4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3" fontId="11" fillId="0" borderId="53" xfId="0" applyNumberFormat="1" applyFont="1" applyBorder="1" applyAlignment="1">
      <alignment horizontal="center" vertical="center"/>
    </xf>
    <xf numFmtId="3" fontId="11" fillId="0" borderId="52" xfId="0" applyNumberFormat="1" applyFont="1" applyBorder="1" applyAlignment="1">
      <alignment horizontal="center" vertical="center"/>
    </xf>
    <xf numFmtId="3" fontId="10" fillId="0" borderId="54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center" vertical="center"/>
    </xf>
    <xf numFmtId="3" fontId="11" fillId="0" borderId="55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18" fillId="0" borderId="0" xfId="0" applyFont="1" applyFill="1" applyBorder="1"/>
    <xf numFmtId="3" fontId="11" fillId="0" borderId="49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11" fillId="0" borderId="4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4" fillId="0" borderId="57" xfId="0" quotePrefix="1" applyFont="1" applyBorder="1" applyAlignment="1">
      <alignment horizontal="center" vertical="center" wrapText="1"/>
    </xf>
    <xf numFmtId="3" fontId="4" fillId="0" borderId="58" xfId="0" applyNumberFormat="1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center" vertical="center" wrapText="1"/>
    </xf>
    <xf numFmtId="3" fontId="11" fillId="0" borderId="59" xfId="0" applyNumberFormat="1" applyFont="1" applyBorder="1" applyAlignment="1">
      <alignment horizontal="center" vertical="center"/>
    </xf>
    <xf numFmtId="3" fontId="7" fillId="0" borderId="60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/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58" xfId="0" quotePrefix="1" applyFont="1" applyBorder="1" applyAlignment="1">
      <alignment horizontal="left" vertical="center" wrapText="1"/>
    </xf>
    <xf numFmtId="0" fontId="7" fillId="0" borderId="2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1" xfId="0" quotePrefix="1" applyFont="1" applyBorder="1" applyAlignment="1">
      <alignment horizontal="left" vertical="center" wrapText="1"/>
    </xf>
    <xf numFmtId="0" fontId="7" fillId="0" borderId="3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21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7">
    <cellStyle name="Įprastas" xfId="0" builtinId="0"/>
    <cellStyle name="Įprastas 2" xfId="2"/>
    <cellStyle name="Įprastas 3" xfId="3"/>
    <cellStyle name="Įvestis" xfId="1" builtinId="20"/>
    <cellStyle name="Įvestis 2" xfId="4"/>
    <cellStyle name="Normal_Sheet1" xfId="5"/>
    <cellStyle name="Paprastas 2" xfId="6"/>
  </cellStyles>
  <dxfs count="2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zoomScaleNormal="100" workbookViewId="0">
      <selection activeCell="D42" sqref="D42"/>
    </sheetView>
  </sheetViews>
  <sheetFormatPr defaultRowHeight="14.4" x14ac:dyDescent="0.3"/>
  <cols>
    <col min="2" max="2" width="50.44140625" customWidth="1"/>
    <col min="3" max="3" width="15.44140625" customWidth="1"/>
    <col min="4" max="4" width="11.6640625" customWidth="1"/>
    <col min="5" max="5" width="13" customWidth="1"/>
  </cols>
  <sheetData>
    <row r="1" spans="1:5" ht="18.75" customHeight="1" x14ac:dyDescent="0.3">
      <c r="A1" s="1"/>
      <c r="C1" s="26" t="s">
        <v>191</v>
      </c>
      <c r="D1" s="26"/>
      <c r="E1" s="26"/>
    </row>
    <row r="2" spans="1:5" ht="17.25" customHeight="1" x14ac:dyDescent="0.3">
      <c r="A2" s="1"/>
      <c r="B2" s="197" t="s">
        <v>188</v>
      </c>
      <c r="C2" s="197"/>
      <c r="D2" s="197"/>
      <c r="E2" s="197"/>
    </row>
    <row r="3" spans="1:5" x14ac:dyDescent="0.3">
      <c r="A3" s="1"/>
      <c r="B3" s="197" t="s">
        <v>203</v>
      </c>
      <c r="C3" s="197"/>
      <c r="D3" s="197"/>
      <c r="E3" s="197"/>
    </row>
    <row r="4" spans="1:5" x14ac:dyDescent="0.3">
      <c r="A4" s="1"/>
      <c r="B4" s="197" t="s">
        <v>189</v>
      </c>
      <c r="C4" s="197"/>
      <c r="D4" s="197"/>
      <c r="E4" s="197"/>
    </row>
    <row r="5" spans="1:5" x14ac:dyDescent="0.3">
      <c r="A5" s="1"/>
      <c r="B5" s="197" t="s">
        <v>229</v>
      </c>
      <c r="C5" s="197"/>
      <c r="D5" s="197"/>
      <c r="E5" s="197"/>
    </row>
    <row r="6" spans="1:5" x14ac:dyDescent="0.3">
      <c r="A6" s="1"/>
      <c r="B6" s="197" t="s">
        <v>192</v>
      </c>
      <c r="C6" s="197"/>
      <c r="D6" s="28"/>
      <c r="E6" s="28"/>
    </row>
    <row r="7" spans="1:5" x14ac:dyDescent="0.3">
      <c r="A7" s="3"/>
      <c r="B7" s="4"/>
      <c r="C7" s="5"/>
    </row>
    <row r="8" spans="1:5" ht="15.75" customHeight="1" x14ac:dyDescent="0.3">
      <c r="A8" s="198" t="s">
        <v>215</v>
      </c>
      <c r="B8" s="198"/>
      <c r="C8" s="198"/>
      <c r="D8" s="198"/>
    </row>
    <row r="9" spans="1:5" ht="15.75" customHeight="1" x14ac:dyDescent="0.3">
      <c r="A9" s="32"/>
      <c r="B9" s="32"/>
      <c r="C9" s="32"/>
      <c r="D9" s="32"/>
      <c r="E9" s="19" t="s">
        <v>186</v>
      </c>
    </row>
    <row r="10" spans="1:5" ht="15.75" customHeight="1" x14ac:dyDescent="0.3">
      <c r="A10" s="81" t="s">
        <v>0</v>
      </c>
      <c r="B10" s="82" t="s">
        <v>1</v>
      </c>
      <c r="C10" s="82" t="s">
        <v>204</v>
      </c>
      <c r="D10" s="61" t="s">
        <v>183</v>
      </c>
      <c r="E10" s="61" t="s">
        <v>184</v>
      </c>
    </row>
    <row r="11" spans="1:5" x14ac:dyDescent="0.3">
      <c r="A11" s="65" t="s">
        <v>2</v>
      </c>
      <c r="B11" s="6" t="s">
        <v>3</v>
      </c>
      <c r="C11" s="66">
        <v>46373000</v>
      </c>
      <c r="D11" s="61"/>
      <c r="E11" s="83">
        <f>C11+D11</f>
        <v>46373000</v>
      </c>
    </row>
    <row r="12" spans="1:5" x14ac:dyDescent="0.3">
      <c r="A12" s="65" t="s">
        <v>4</v>
      </c>
      <c r="B12" s="67" t="s">
        <v>5</v>
      </c>
      <c r="C12" s="66">
        <v>45000</v>
      </c>
      <c r="D12" s="24"/>
      <c r="E12" s="30">
        <f>C12+D12</f>
        <v>45000</v>
      </c>
    </row>
    <row r="13" spans="1:5" x14ac:dyDescent="0.3">
      <c r="A13" s="65" t="s">
        <v>6</v>
      </c>
      <c r="B13" s="6" t="s">
        <v>7</v>
      </c>
      <c r="C13" s="66">
        <f>C14+C15+C16+C17</f>
        <v>2718434</v>
      </c>
      <c r="D13" s="24"/>
      <c r="E13" s="30">
        <f t="shared" ref="E13:E48" si="0">C13+D13</f>
        <v>2718434</v>
      </c>
    </row>
    <row r="14" spans="1:5" x14ac:dyDescent="0.3">
      <c r="A14" s="65" t="s">
        <v>8</v>
      </c>
      <c r="B14" s="6" t="s">
        <v>9</v>
      </c>
      <c r="C14" s="66">
        <v>1016434</v>
      </c>
      <c r="D14" s="24"/>
      <c r="E14" s="30">
        <f t="shared" si="0"/>
        <v>1016434</v>
      </c>
    </row>
    <row r="15" spans="1:5" x14ac:dyDescent="0.3">
      <c r="A15" s="65" t="s">
        <v>10</v>
      </c>
      <c r="B15" s="6" t="s">
        <v>11</v>
      </c>
      <c r="C15" s="66">
        <v>12000</v>
      </c>
      <c r="D15" s="24"/>
      <c r="E15" s="30">
        <f t="shared" si="0"/>
        <v>12000</v>
      </c>
    </row>
    <row r="16" spans="1:5" x14ac:dyDescent="0.3">
      <c r="A16" s="65" t="s">
        <v>12</v>
      </c>
      <c r="B16" s="6" t="s">
        <v>13</v>
      </c>
      <c r="C16" s="66">
        <v>1500000</v>
      </c>
      <c r="D16" s="24"/>
      <c r="E16" s="30">
        <f t="shared" si="0"/>
        <v>1500000</v>
      </c>
    </row>
    <row r="17" spans="1:5" x14ac:dyDescent="0.3">
      <c r="A17" s="65" t="s">
        <v>14</v>
      </c>
      <c r="B17" s="6" t="s">
        <v>15</v>
      </c>
      <c r="C17" s="66">
        <v>190000</v>
      </c>
      <c r="D17" s="24"/>
      <c r="E17" s="30">
        <f t="shared" si="0"/>
        <v>190000</v>
      </c>
    </row>
    <row r="18" spans="1:5" x14ac:dyDescent="0.3">
      <c r="A18" s="65" t="s">
        <v>16</v>
      </c>
      <c r="B18" s="6" t="s">
        <v>17</v>
      </c>
      <c r="C18" s="66">
        <f>C19+C20+C21</f>
        <v>170000</v>
      </c>
      <c r="D18" s="24"/>
      <c r="E18" s="30">
        <f t="shared" si="0"/>
        <v>170000</v>
      </c>
    </row>
    <row r="19" spans="1:5" x14ac:dyDescent="0.3">
      <c r="A19" s="65" t="s">
        <v>18</v>
      </c>
      <c r="B19" s="6" t="s">
        <v>19</v>
      </c>
      <c r="C19" s="66">
        <v>50000</v>
      </c>
      <c r="D19" s="24"/>
      <c r="E19" s="30">
        <f t="shared" si="0"/>
        <v>50000</v>
      </c>
    </row>
    <row r="20" spans="1:5" x14ac:dyDescent="0.3">
      <c r="A20" s="65" t="s">
        <v>20</v>
      </c>
      <c r="B20" s="6" t="s">
        <v>21</v>
      </c>
      <c r="C20" s="66">
        <v>50000</v>
      </c>
      <c r="D20" s="24"/>
      <c r="E20" s="30">
        <f t="shared" si="0"/>
        <v>50000</v>
      </c>
    </row>
    <row r="21" spans="1:5" x14ac:dyDescent="0.3">
      <c r="A21" s="65" t="s">
        <v>22</v>
      </c>
      <c r="B21" s="6" t="s">
        <v>23</v>
      </c>
      <c r="C21" s="66">
        <v>70000</v>
      </c>
      <c r="D21" s="24"/>
      <c r="E21" s="30">
        <f t="shared" si="0"/>
        <v>70000</v>
      </c>
    </row>
    <row r="22" spans="1:5" x14ac:dyDescent="0.3">
      <c r="A22" s="68" t="s">
        <v>24</v>
      </c>
      <c r="B22" s="69" t="s">
        <v>25</v>
      </c>
      <c r="C22" s="70">
        <f>C11+C12+C13+C18</f>
        <v>49306434</v>
      </c>
      <c r="D22" s="24"/>
      <c r="E22" s="64">
        <f t="shared" si="0"/>
        <v>49306434</v>
      </c>
    </row>
    <row r="23" spans="1:5" x14ac:dyDescent="0.3">
      <c r="A23" s="65" t="s">
        <v>26</v>
      </c>
      <c r="B23" s="6" t="s">
        <v>27</v>
      </c>
      <c r="C23" s="66">
        <v>2230000</v>
      </c>
      <c r="D23" s="24"/>
      <c r="E23" s="30">
        <f t="shared" si="0"/>
        <v>2230000</v>
      </c>
    </row>
    <row r="24" spans="1:5" x14ac:dyDescent="0.3">
      <c r="A24" s="71" t="s">
        <v>28</v>
      </c>
      <c r="B24" s="6" t="s">
        <v>29</v>
      </c>
      <c r="C24" s="66">
        <v>2200000</v>
      </c>
      <c r="D24" s="24"/>
      <c r="E24" s="30">
        <f t="shared" si="0"/>
        <v>2200000</v>
      </c>
    </row>
    <row r="25" spans="1:5" x14ac:dyDescent="0.3">
      <c r="A25" s="65" t="s">
        <v>30</v>
      </c>
      <c r="B25" s="6" t="s">
        <v>31</v>
      </c>
      <c r="C25" s="72">
        <f>C26+C27+C28</f>
        <v>2526700</v>
      </c>
      <c r="D25" s="24"/>
      <c r="E25" s="30">
        <f t="shared" si="0"/>
        <v>2526700</v>
      </c>
    </row>
    <row r="26" spans="1:5" ht="27.6" x14ac:dyDescent="0.3">
      <c r="A26" s="71" t="s">
        <v>32</v>
      </c>
      <c r="B26" s="6" t="s">
        <v>33</v>
      </c>
      <c r="C26" s="21">
        <v>329300</v>
      </c>
      <c r="D26" s="24"/>
      <c r="E26" s="30">
        <f t="shared" si="0"/>
        <v>329300</v>
      </c>
    </row>
    <row r="27" spans="1:5" ht="27.6" x14ac:dyDescent="0.3">
      <c r="A27" s="71" t="s">
        <v>34</v>
      </c>
      <c r="B27" s="6" t="s">
        <v>35</v>
      </c>
      <c r="C27" s="21">
        <v>811700</v>
      </c>
      <c r="D27" s="24"/>
      <c r="E27" s="30">
        <f t="shared" si="0"/>
        <v>811700</v>
      </c>
    </row>
    <row r="28" spans="1:5" x14ac:dyDescent="0.3">
      <c r="A28" s="71" t="s">
        <v>36</v>
      </c>
      <c r="B28" s="6" t="s">
        <v>37</v>
      </c>
      <c r="C28" s="66">
        <v>1385700</v>
      </c>
      <c r="D28" s="24"/>
      <c r="E28" s="30">
        <f t="shared" si="0"/>
        <v>1385700</v>
      </c>
    </row>
    <row r="29" spans="1:5" x14ac:dyDescent="0.3">
      <c r="A29" s="71" t="s">
        <v>38</v>
      </c>
      <c r="B29" s="6" t="s">
        <v>205</v>
      </c>
      <c r="C29" s="66">
        <v>25000</v>
      </c>
      <c r="D29" s="24"/>
      <c r="E29" s="30">
        <f t="shared" si="0"/>
        <v>25000</v>
      </c>
    </row>
    <row r="30" spans="1:5" ht="27.6" x14ac:dyDescent="0.3">
      <c r="A30" s="65" t="s">
        <v>43</v>
      </c>
      <c r="B30" s="6" t="s">
        <v>39</v>
      </c>
      <c r="C30" s="21">
        <f>C31+C32+C33</f>
        <v>184000</v>
      </c>
      <c r="D30" s="21"/>
      <c r="E30" s="30">
        <f t="shared" si="0"/>
        <v>184000</v>
      </c>
    </row>
    <row r="31" spans="1:5" x14ac:dyDescent="0.3">
      <c r="A31" s="65" t="s">
        <v>206</v>
      </c>
      <c r="B31" s="6" t="s">
        <v>40</v>
      </c>
      <c r="C31" s="66">
        <v>104000</v>
      </c>
      <c r="D31" s="24"/>
      <c r="E31" s="30">
        <f t="shared" si="0"/>
        <v>104000</v>
      </c>
    </row>
    <row r="32" spans="1:5" x14ac:dyDescent="0.3">
      <c r="A32" s="65" t="s">
        <v>207</v>
      </c>
      <c r="B32" s="6" t="s">
        <v>41</v>
      </c>
      <c r="C32" s="66">
        <v>50000</v>
      </c>
      <c r="D32" s="24"/>
      <c r="E32" s="30">
        <f t="shared" si="0"/>
        <v>50000</v>
      </c>
    </row>
    <row r="33" spans="1:5" x14ac:dyDescent="0.3">
      <c r="A33" s="65" t="s">
        <v>208</v>
      </c>
      <c r="B33" s="6" t="s">
        <v>42</v>
      </c>
      <c r="C33" s="66">
        <v>30000</v>
      </c>
      <c r="D33" s="24"/>
      <c r="E33" s="30">
        <f t="shared" si="0"/>
        <v>30000</v>
      </c>
    </row>
    <row r="34" spans="1:5" x14ac:dyDescent="0.3">
      <c r="A34" s="65" t="s">
        <v>45</v>
      </c>
      <c r="B34" s="6" t="s">
        <v>44</v>
      </c>
      <c r="C34" s="66">
        <v>81000</v>
      </c>
      <c r="D34" s="24"/>
      <c r="E34" s="30">
        <f t="shared" si="0"/>
        <v>81000</v>
      </c>
    </row>
    <row r="35" spans="1:5" ht="27.6" x14ac:dyDescent="0.3">
      <c r="A35" s="65" t="s">
        <v>49</v>
      </c>
      <c r="B35" s="6" t="s">
        <v>46</v>
      </c>
      <c r="C35" s="21">
        <f>C36+C37</f>
        <v>183000</v>
      </c>
      <c r="D35" s="24"/>
      <c r="E35" s="30">
        <f t="shared" si="0"/>
        <v>183000</v>
      </c>
    </row>
    <row r="36" spans="1:5" x14ac:dyDescent="0.3">
      <c r="A36" s="65" t="s">
        <v>209</v>
      </c>
      <c r="B36" s="6" t="s">
        <v>47</v>
      </c>
      <c r="C36" s="66">
        <v>83000</v>
      </c>
      <c r="D36" s="24"/>
      <c r="E36" s="30">
        <f t="shared" si="0"/>
        <v>83000</v>
      </c>
    </row>
    <row r="37" spans="1:5" x14ac:dyDescent="0.3">
      <c r="A37" s="65" t="s">
        <v>210</v>
      </c>
      <c r="B37" s="6" t="s">
        <v>48</v>
      </c>
      <c r="C37" s="66">
        <v>100000</v>
      </c>
      <c r="D37" s="24"/>
      <c r="E37" s="30">
        <f t="shared" si="0"/>
        <v>100000</v>
      </c>
    </row>
    <row r="38" spans="1:5" ht="27.6" x14ac:dyDescent="0.3">
      <c r="A38" s="68" t="s">
        <v>50</v>
      </c>
      <c r="B38" s="69" t="s">
        <v>211</v>
      </c>
      <c r="C38" s="84">
        <f>C22+C23+C25+C29+C30+C34+C35</f>
        <v>54536134</v>
      </c>
      <c r="D38" s="24"/>
      <c r="E38" s="64">
        <f t="shared" si="0"/>
        <v>54536134</v>
      </c>
    </row>
    <row r="39" spans="1:5" ht="27.6" x14ac:dyDescent="0.3">
      <c r="A39" s="65" t="s">
        <v>52</v>
      </c>
      <c r="B39" s="6" t="s">
        <v>51</v>
      </c>
      <c r="C39" s="23">
        <v>5271517</v>
      </c>
      <c r="D39" s="22"/>
      <c r="E39" s="30">
        <f t="shared" si="0"/>
        <v>5271517</v>
      </c>
    </row>
    <row r="40" spans="1:5" x14ac:dyDescent="0.3">
      <c r="A40" s="65" t="s">
        <v>54</v>
      </c>
      <c r="B40" s="6" t="s">
        <v>53</v>
      </c>
      <c r="C40" s="74">
        <v>24720735</v>
      </c>
      <c r="D40" s="24"/>
      <c r="E40" s="30">
        <f t="shared" si="0"/>
        <v>24720735</v>
      </c>
    </row>
    <row r="41" spans="1:5" ht="27.6" x14ac:dyDescent="0.3">
      <c r="A41" s="75" t="s">
        <v>56</v>
      </c>
      <c r="B41" s="7" t="s">
        <v>55</v>
      </c>
      <c r="C41" s="23">
        <v>2932801</v>
      </c>
      <c r="D41" s="30">
        <v>492982</v>
      </c>
      <c r="E41" s="30">
        <f t="shared" si="0"/>
        <v>3425783</v>
      </c>
    </row>
    <row r="42" spans="1:5" ht="18" customHeight="1" x14ac:dyDescent="0.3">
      <c r="A42" s="65" t="s">
        <v>58</v>
      </c>
      <c r="B42" s="6" t="s">
        <v>57</v>
      </c>
      <c r="C42" s="72">
        <v>2510480</v>
      </c>
      <c r="D42" s="30">
        <v>20720</v>
      </c>
      <c r="E42" s="30">
        <f t="shared" si="0"/>
        <v>2531200</v>
      </c>
    </row>
    <row r="43" spans="1:5" ht="41.4" x14ac:dyDescent="0.3">
      <c r="A43" s="65" t="s">
        <v>60</v>
      </c>
      <c r="B43" s="6" t="s">
        <v>59</v>
      </c>
      <c r="C43" s="22">
        <v>4906434</v>
      </c>
      <c r="D43" s="30">
        <v>49659</v>
      </c>
      <c r="E43" s="30">
        <f t="shared" si="0"/>
        <v>4956093</v>
      </c>
    </row>
    <row r="44" spans="1:5" x14ac:dyDescent="0.3">
      <c r="A44" s="68" t="s">
        <v>61</v>
      </c>
      <c r="B44" s="69" t="s">
        <v>212</v>
      </c>
      <c r="C44" s="70">
        <f>C39+C40+C41+C42+C43</f>
        <v>40341967</v>
      </c>
      <c r="D44" s="70">
        <f>D39+D40+D41+D42+D43</f>
        <v>563361</v>
      </c>
      <c r="E44" s="64">
        <f>C44+D44</f>
        <v>40905328</v>
      </c>
    </row>
    <row r="45" spans="1:5" x14ac:dyDescent="0.3">
      <c r="A45" s="68" t="s">
        <v>62</v>
      </c>
      <c r="B45" s="69" t="s">
        <v>213</v>
      </c>
      <c r="C45" s="73">
        <f>C38+C44</f>
        <v>94878101</v>
      </c>
      <c r="D45" s="73">
        <f>D38+D44</f>
        <v>563361</v>
      </c>
      <c r="E45" s="64">
        <f t="shared" si="0"/>
        <v>95441462</v>
      </c>
    </row>
    <row r="46" spans="1:5" x14ac:dyDescent="0.3">
      <c r="A46" s="65" t="s">
        <v>64</v>
      </c>
      <c r="B46" s="6" t="s">
        <v>63</v>
      </c>
      <c r="C46" s="66">
        <v>1227800</v>
      </c>
      <c r="D46" s="22"/>
      <c r="E46" s="30">
        <f t="shared" si="0"/>
        <v>1227800</v>
      </c>
    </row>
    <row r="47" spans="1:5" x14ac:dyDescent="0.3">
      <c r="A47" s="65" t="s">
        <v>66</v>
      </c>
      <c r="B47" s="6" t="s">
        <v>65</v>
      </c>
      <c r="C47" s="66">
        <v>6178230</v>
      </c>
      <c r="D47" s="24"/>
      <c r="E47" s="30">
        <f t="shared" si="0"/>
        <v>6178230</v>
      </c>
    </row>
    <row r="48" spans="1:5" x14ac:dyDescent="0.3">
      <c r="A48" s="68" t="s">
        <v>116</v>
      </c>
      <c r="B48" s="69" t="s">
        <v>214</v>
      </c>
      <c r="C48" s="70">
        <f>C45+C46+C47</f>
        <v>102284131</v>
      </c>
      <c r="D48" s="70">
        <f>D45+D46+D47</f>
        <v>563361</v>
      </c>
      <c r="E48" s="64">
        <f t="shared" si="0"/>
        <v>102847492</v>
      </c>
    </row>
    <row r="49" spans="1:5" x14ac:dyDescent="0.3">
      <c r="A49" s="76"/>
      <c r="B49" s="77"/>
      <c r="C49" s="78"/>
      <c r="D49" s="79"/>
      <c r="E49" s="80"/>
    </row>
    <row r="50" spans="1:5" x14ac:dyDescent="0.3">
      <c r="A50" s="52"/>
      <c r="B50" s="52"/>
      <c r="C50" s="52"/>
      <c r="D50" s="52"/>
      <c r="E50" s="52"/>
    </row>
    <row r="51" spans="1:5" x14ac:dyDescent="0.3">
      <c r="A51" s="52"/>
      <c r="B51" s="52"/>
      <c r="C51" s="52"/>
      <c r="D51" s="52"/>
      <c r="E51" s="52"/>
    </row>
    <row r="52" spans="1:5" x14ac:dyDescent="0.3">
      <c r="B52" s="25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opLeftCell="A217" zoomScaleNormal="100" workbookViewId="0">
      <selection activeCell="F225" sqref="F225"/>
    </sheetView>
  </sheetViews>
  <sheetFormatPr defaultRowHeight="14.4" x14ac:dyDescent="0.3"/>
  <cols>
    <col min="1" max="1" width="4.44140625" customWidth="1"/>
    <col min="2" max="2" width="17.109375" customWidth="1"/>
    <col min="3" max="3" width="20.109375" customWidth="1"/>
    <col min="4" max="4" width="10.6640625" customWidth="1"/>
    <col min="5" max="5" width="14" customWidth="1"/>
    <col min="6" max="6" width="10.5546875" customWidth="1"/>
    <col min="7" max="7" width="11.33203125" customWidth="1"/>
  </cols>
  <sheetData>
    <row r="1" spans="1:7" ht="17.25" customHeight="1" x14ac:dyDescent="0.3">
      <c r="A1" s="8"/>
      <c r="C1" s="26" t="s">
        <v>187</v>
      </c>
      <c r="D1" s="26"/>
      <c r="E1" s="26"/>
      <c r="F1" s="29"/>
      <c r="G1" s="29"/>
    </row>
    <row r="2" spans="1:7" ht="14.25" customHeight="1" x14ac:dyDescent="0.3">
      <c r="A2" s="8"/>
      <c r="B2" s="4" t="s">
        <v>188</v>
      </c>
      <c r="C2" s="5"/>
      <c r="D2" s="28"/>
      <c r="E2" s="28"/>
      <c r="F2" s="27"/>
      <c r="G2" s="27"/>
    </row>
    <row r="3" spans="1:7" ht="15.75" customHeight="1" x14ac:dyDescent="0.3">
      <c r="A3" s="8"/>
      <c r="B3" s="4" t="s">
        <v>193</v>
      </c>
      <c r="C3" s="5"/>
      <c r="D3" s="28"/>
      <c r="E3" s="28"/>
      <c r="F3" s="27"/>
      <c r="G3" s="27"/>
    </row>
    <row r="4" spans="1:7" ht="15.75" customHeight="1" x14ac:dyDescent="0.3">
      <c r="A4" s="8"/>
      <c r="B4" s="4" t="s">
        <v>189</v>
      </c>
      <c r="C4" s="5"/>
      <c r="D4" s="28"/>
      <c r="E4" s="28"/>
      <c r="F4" s="27"/>
      <c r="G4" s="27"/>
    </row>
    <row r="5" spans="1:7" ht="15.75" customHeight="1" x14ac:dyDescent="0.3">
      <c r="A5" s="8"/>
      <c r="B5" s="4" t="s">
        <v>228</v>
      </c>
      <c r="C5" s="5"/>
      <c r="D5" s="28"/>
      <c r="E5" s="28"/>
      <c r="F5" s="27"/>
      <c r="G5" s="27"/>
    </row>
    <row r="6" spans="1:7" ht="15.75" customHeight="1" x14ac:dyDescent="0.3">
      <c r="A6" s="8"/>
      <c r="B6" s="4" t="s">
        <v>190</v>
      </c>
      <c r="C6" s="5"/>
      <c r="D6" s="28"/>
      <c r="E6" s="28"/>
      <c r="F6" s="27"/>
      <c r="G6" s="27"/>
    </row>
    <row r="7" spans="1:7" ht="15.75" customHeight="1" x14ac:dyDescent="0.3">
      <c r="A7" s="8"/>
      <c r="B7" s="9"/>
      <c r="C7" s="9"/>
      <c r="D7" s="2"/>
      <c r="E7" s="2"/>
    </row>
    <row r="8" spans="1:7" ht="15.75" customHeight="1" x14ac:dyDescent="0.3">
      <c r="A8" s="218" t="s">
        <v>194</v>
      </c>
      <c r="B8" s="218"/>
      <c r="C8" s="218"/>
      <c r="D8" s="218"/>
      <c r="E8" s="218"/>
      <c r="F8" s="218"/>
      <c r="G8" s="218"/>
    </row>
    <row r="9" spans="1:7" ht="15" thickBot="1" x14ac:dyDescent="0.35">
      <c r="A9" s="34"/>
      <c r="B9" s="36"/>
      <c r="C9" s="36"/>
      <c r="D9" s="37"/>
      <c r="E9" s="35"/>
      <c r="F9" s="53"/>
      <c r="G9" s="54"/>
    </row>
    <row r="10" spans="1:7" ht="24.6" thickBot="1" x14ac:dyDescent="0.35">
      <c r="A10" s="90" t="s">
        <v>0</v>
      </c>
      <c r="B10" s="33" t="s">
        <v>67</v>
      </c>
      <c r="C10" s="33" t="s">
        <v>68</v>
      </c>
      <c r="D10" s="33" t="s">
        <v>69</v>
      </c>
      <c r="E10" s="91" t="s">
        <v>185</v>
      </c>
      <c r="F10" s="154" t="s">
        <v>183</v>
      </c>
      <c r="G10" s="153" t="s">
        <v>184</v>
      </c>
    </row>
    <row r="11" spans="1:7" ht="36" x14ac:dyDescent="0.3">
      <c r="A11" s="213" t="s">
        <v>2</v>
      </c>
      <c r="B11" s="10" t="s">
        <v>70</v>
      </c>
      <c r="C11" s="47" t="s">
        <v>71</v>
      </c>
      <c r="D11" s="89" t="s">
        <v>72</v>
      </c>
      <c r="E11" s="109">
        <v>124441</v>
      </c>
      <c r="F11" s="127"/>
      <c r="G11" s="143">
        <f>E11+F11</f>
        <v>124441</v>
      </c>
    </row>
    <row r="12" spans="1:7" ht="24.6" thickBot="1" x14ac:dyDescent="0.35">
      <c r="A12" s="214"/>
      <c r="B12" s="38" t="s">
        <v>73</v>
      </c>
      <c r="C12" s="39"/>
      <c r="D12" s="40"/>
      <c r="E12" s="110">
        <f>SUBTOTAL(9,E11:E11)</f>
        <v>124441</v>
      </c>
      <c r="F12" s="128"/>
      <c r="G12" s="122">
        <f t="shared" ref="G12:G78" si="0">E12+F12</f>
        <v>124441</v>
      </c>
    </row>
    <row r="13" spans="1:7" ht="15" customHeight="1" x14ac:dyDescent="0.3">
      <c r="A13" s="219" t="s">
        <v>4</v>
      </c>
      <c r="B13" s="225" t="s">
        <v>74</v>
      </c>
      <c r="C13" s="199" t="s">
        <v>71</v>
      </c>
      <c r="D13" s="89" t="s">
        <v>72</v>
      </c>
      <c r="E13" s="124">
        <v>7654326</v>
      </c>
      <c r="F13" s="129"/>
      <c r="G13" s="104">
        <f t="shared" si="0"/>
        <v>7654326</v>
      </c>
    </row>
    <row r="14" spans="1:7" x14ac:dyDescent="0.3">
      <c r="A14" s="220"/>
      <c r="B14" s="226"/>
      <c r="C14" s="200"/>
      <c r="D14" s="13" t="s">
        <v>75</v>
      </c>
      <c r="E14" s="125">
        <v>99700</v>
      </c>
      <c r="F14" s="130"/>
      <c r="G14" s="106">
        <f t="shared" si="0"/>
        <v>99700</v>
      </c>
    </row>
    <row r="15" spans="1:7" x14ac:dyDescent="0.3">
      <c r="A15" s="220"/>
      <c r="B15" s="226"/>
      <c r="C15" s="200"/>
      <c r="D15" s="13" t="s">
        <v>76</v>
      </c>
      <c r="E15" s="125">
        <v>269719</v>
      </c>
      <c r="F15" s="131"/>
      <c r="G15" s="106">
        <f t="shared" si="0"/>
        <v>269719</v>
      </c>
    </row>
    <row r="16" spans="1:7" x14ac:dyDescent="0.3">
      <c r="A16" s="220"/>
      <c r="B16" s="226"/>
      <c r="C16" s="200"/>
      <c r="D16" s="13" t="s">
        <v>77</v>
      </c>
      <c r="E16" s="125">
        <v>25770</v>
      </c>
      <c r="F16" s="130"/>
      <c r="G16" s="106">
        <f t="shared" si="0"/>
        <v>25770</v>
      </c>
    </row>
    <row r="17" spans="1:7" x14ac:dyDescent="0.3">
      <c r="A17" s="220"/>
      <c r="B17" s="226"/>
      <c r="C17" s="200"/>
      <c r="D17" s="13" t="s">
        <v>81</v>
      </c>
      <c r="E17" s="125">
        <v>4550</v>
      </c>
      <c r="F17" s="130"/>
      <c r="G17" s="106">
        <f t="shared" si="0"/>
        <v>4550</v>
      </c>
    </row>
    <row r="18" spans="1:7" x14ac:dyDescent="0.3">
      <c r="A18" s="220"/>
      <c r="B18" s="226"/>
      <c r="C18" s="201"/>
      <c r="D18" s="13" t="s">
        <v>93</v>
      </c>
      <c r="E18" s="125">
        <v>24419</v>
      </c>
      <c r="F18" s="130"/>
      <c r="G18" s="106">
        <f t="shared" si="0"/>
        <v>24419</v>
      </c>
    </row>
    <row r="19" spans="1:7" x14ac:dyDescent="0.3">
      <c r="A19" s="220"/>
      <c r="B19" s="226"/>
      <c r="C19" s="48" t="s">
        <v>195</v>
      </c>
      <c r="D19" s="14"/>
      <c r="E19" s="119">
        <f>SUBTOTAL(9,E13:E18)</f>
        <v>8078484</v>
      </c>
      <c r="F19" s="112">
        <f>SUBTOTAL(9,F13:F18)</f>
        <v>0</v>
      </c>
      <c r="G19" s="105">
        <f t="shared" si="0"/>
        <v>8078484</v>
      </c>
    </row>
    <row r="20" spans="1:7" x14ac:dyDescent="0.3">
      <c r="A20" s="220"/>
      <c r="B20" s="226"/>
      <c r="C20" s="222" t="s">
        <v>78</v>
      </c>
      <c r="D20" s="13" t="s">
        <v>72</v>
      </c>
      <c r="E20" s="125">
        <v>1610000</v>
      </c>
      <c r="F20" s="114"/>
      <c r="G20" s="106">
        <f t="shared" si="0"/>
        <v>1610000</v>
      </c>
    </row>
    <row r="21" spans="1:7" ht="15" customHeight="1" x14ac:dyDescent="0.3">
      <c r="A21" s="220"/>
      <c r="B21" s="226"/>
      <c r="C21" s="200"/>
      <c r="D21" s="13" t="s">
        <v>75</v>
      </c>
      <c r="E21" s="125">
        <v>241900</v>
      </c>
      <c r="F21" s="131"/>
      <c r="G21" s="106">
        <f t="shared" si="0"/>
        <v>241900</v>
      </c>
    </row>
    <row r="22" spans="1:7" x14ac:dyDescent="0.3">
      <c r="A22" s="220"/>
      <c r="B22" s="226"/>
      <c r="C22" s="48" t="s">
        <v>195</v>
      </c>
      <c r="D22" s="14"/>
      <c r="E22" s="119">
        <f>SUM(E20:E21)</f>
        <v>1851900</v>
      </c>
      <c r="F22" s="119">
        <f>SUM(F20:F21)</f>
        <v>0</v>
      </c>
      <c r="G22" s="105">
        <f t="shared" si="0"/>
        <v>1851900</v>
      </c>
    </row>
    <row r="23" spans="1:7" x14ac:dyDescent="0.3">
      <c r="A23" s="220"/>
      <c r="B23" s="226"/>
      <c r="C23" s="227" t="s">
        <v>80</v>
      </c>
      <c r="D23" s="13" t="s">
        <v>72</v>
      </c>
      <c r="E23" s="125">
        <f>580000</f>
        <v>580000</v>
      </c>
      <c r="F23" s="130"/>
      <c r="G23" s="106">
        <f t="shared" si="0"/>
        <v>580000</v>
      </c>
    </row>
    <row r="24" spans="1:7" x14ac:dyDescent="0.3">
      <c r="A24" s="220"/>
      <c r="B24" s="226"/>
      <c r="C24" s="215"/>
      <c r="D24" s="13" t="s">
        <v>76</v>
      </c>
      <c r="E24" s="125">
        <v>463400</v>
      </c>
      <c r="F24" s="130"/>
      <c r="G24" s="106">
        <f t="shared" si="0"/>
        <v>463400</v>
      </c>
    </row>
    <row r="25" spans="1:7" x14ac:dyDescent="0.3">
      <c r="A25" s="220"/>
      <c r="B25" s="226"/>
      <c r="C25" s="215"/>
      <c r="D25" s="13" t="s">
        <v>82</v>
      </c>
      <c r="E25" s="125">
        <v>324000</v>
      </c>
      <c r="F25" s="131"/>
      <c r="G25" s="106">
        <f t="shared" si="0"/>
        <v>324000</v>
      </c>
    </row>
    <row r="26" spans="1:7" x14ac:dyDescent="0.3">
      <c r="A26" s="220"/>
      <c r="B26" s="226"/>
      <c r="C26" s="215"/>
      <c r="D26" s="13" t="s">
        <v>81</v>
      </c>
      <c r="E26" s="125">
        <v>44000</v>
      </c>
      <c r="F26" s="131"/>
      <c r="G26" s="106">
        <f t="shared" si="0"/>
        <v>44000</v>
      </c>
    </row>
    <row r="27" spans="1:7" x14ac:dyDescent="0.3">
      <c r="A27" s="220"/>
      <c r="B27" s="226"/>
      <c r="C27" s="228"/>
      <c r="D27" s="13" t="s">
        <v>93</v>
      </c>
      <c r="E27" s="125"/>
      <c r="F27" s="131">
        <v>469268</v>
      </c>
      <c r="G27" s="106">
        <f t="shared" si="0"/>
        <v>469268</v>
      </c>
    </row>
    <row r="28" spans="1:7" x14ac:dyDescent="0.3">
      <c r="A28" s="220"/>
      <c r="B28" s="226"/>
      <c r="C28" s="48" t="s">
        <v>195</v>
      </c>
      <c r="D28" s="14"/>
      <c r="E28" s="119">
        <f>SUBTOTAL(9,E23:E27)</f>
        <v>1411400</v>
      </c>
      <c r="F28" s="119">
        <f>SUBTOTAL(9,F23:F27)</f>
        <v>469268</v>
      </c>
      <c r="G28" s="105">
        <f t="shared" si="0"/>
        <v>1880668</v>
      </c>
    </row>
    <row r="29" spans="1:7" ht="15" customHeight="1" x14ac:dyDescent="0.3">
      <c r="A29" s="220"/>
      <c r="B29" s="226"/>
      <c r="C29" s="223" t="s">
        <v>83</v>
      </c>
      <c r="D29" s="13" t="s">
        <v>72</v>
      </c>
      <c r="E29" s="125">
        <v>5675221</v>
      </c>
      <c r="F29" s="130"/>
      <c r="G29" s="106">
        <f t="shared" si="0"/>
        <v>5675221</v>
      </c>
    </row>
    <row r="30" spans="1:7" x14ac:dyDescent="0.3">
      <c r="A30" s="220"/>
      <c r="B30" s="226"/>
      <c r="C30" s="224"/>
      <c r="D30" s="13" t="s">
        <v>84</v>
      </c>
      <c r="E30" s="125">
        <v>1227800</v>
      </c>
      <c r="F30" s="112"/>
      <c r="G30" s="106">
        <f t="shared" si="0"/>
        <v>1227800</v>
      </c>
    </row>
    <row r="31" spans="1:7" ht="15" customHeight="1" x14ac:dyDescent="0.3">
      <c r="A31" s="220"/>
      <c r="B31" s="226"/>
      <c r="C31" s="224"/>
      <c r="D31" s="13" t="s">
        <v>85</v>
      </c>
      <c r="E31" s="125">
        <v>575000</v>
      </c>
      <c r="F31" s="130"/>
      <c r="G31" s="106">
        <f t="shared" si="0"/>
        <v>575000</v>
      </c>
    </row>
    <row r="32" spans="1:7" x14ac:dyDescent="0.3">
      <c r="A32" s="220"/>
      <c r="B32" s="226"/>
      <c r="C32" s="224"/>
      <c r="D32" s="13" t="s">
        <v>79</v>
      </c>
      <c r="E32" s="125">
        <v>474000</v>
      </c>
      <c r="F32" s="130"/>
      <c r="G32" s="106">
        <f t="shared" si="0"/>
        <v>474000</v>
      </c>
    </row>
    <row r="33" spans="1:9" x14ac:dyDescent="0.3">
      <c r="A33" s="220"/>
      <c r="B33" s="226"/>
      <c r="C33" s="224"/>
      <c r="D33" s="13" t="s">
        <v>81</v>
      </c>
      <c r="E33" s="125">
        <v>507304</v>
      </c>
      <c r="F33" s="131">
        <v>-190000</v>
      </c>
      <c r="G33" s="106">
        <f t="shared" si="0"/>
        <v>317304</v>
      </c>
      <c r="H33" s="150"/>
      <c r="I33" s="150"/>
    </row>
    <row r="34" spans="1:9" x14ac:dyDescent="0.3">
      <c r="A34" s="220"/>
      <c r="B34" s="226"/>
      <c r="C34" s="224"/>
      <c r="D34" s="13" t="s">
        <v>93</v>
      </c>
      <c r="E34" s="125">
        <v>507000</v>
      </c>
      <c r="F34" s="131">
        <v>190000</v>
      </c>
      <c r="G34" s="106">
        <f t="shared" si="0"/>
        <v>697000</v>
      </c>
    </row>
    <row r="35" spans="1:9" x14ac:dyDescent="0.3">
      <c r="A35" s="220"/>
      <c r="B35" s="226"/>
      <c r="C35" s="224"/>
      <c r="D35" s="13" t="s">
        <v>82</v>
      </c>
      <c r="E35" s="125">
        <v>4339050</v>
      </c>
      <c r="F35" s="112"/>
      <c r="G35" s="106">
        <f t="shared" si="0"/>
        <v>4339050</v>
      </c>
    </row>
    <row r="36" spans="1:9" ht="15" customHeight="1" x14ac:dyDescent="0.3">
      <c r="A36" s="220"/>
      <c r="B36" s="226"/>
      <c r="C36" s="48" t="s">
        <v>195</v>
      </c>
      <c r="D36" s="14"/>
      <c r="E36" s="119">
        <f t="shared" ref="E36:F36" si="1">SUBTOTAL(9,E29:E35)</f>
        <v>13305375</v>
      </c>
      <c r="F36" s="119">
        <f t="shared" si="1"/>
        <v>0</v>
      </c>
      <c r="G36" s="105">
        <f t="shared" si="0"/>
        <v>13305375</v>
      </c>
    </row>
    <row r="37" spans="1:9" ht="15" customHeight="1" x14ac:dyDescent="0.3">
      <c r="A37" s="220"/>
      <c r="B37" s="226"/>
      <c r="C37" s="222" t="s">
        <v>86</v>
      </c>
      <c r="D37" s="13" t="s">
        <v>72</v>
      </c>
      <c r="E37" s="125">
        <v>9580300</v>
      </c>
      <c r="F37" s="130"/>
      <c r="G37" s="106">
        <f t="shared" si="0"/>
        <v>9580300</v>
      </c>
    </row>
    <row r="38" spans="1:9" x14ac:dyDescent="0.3">
      <c r="A38" s="220"/>
      <c r="B38" s="226"/>
      <c r="C38" s="200"/>
      <c r="D38" s="13" t="s">
        <v>87</v>
      </c>
      <c r="E38" s="125">
        <v>74300</v>
      </c>
      <c r="F38" s="112"/>
      <c r="G38" s="106">
        <f t="shared" si="0"/>
        <v>74300</v>
      </c>
    </row>
    <row r="39" spans="1:9" x14ac:dyDescent="0.3">
      <c r="A39" s="220"/>
      <c r="B39" s="226"/>
      <c r="C39" s="200"/>
      <c r="D39" s="13" t="s">
        <v>88</v>
      </c>
      <c r="E39" s="125">
        <v>280364</v>
      </c>
      <c r="F39" s="130"/>
      <c r="G39" s="106">
        <f t="shared" si="0"/>
        <v>280364</v>
      </c>
    </row>
    <row r="40" spans="1:9" x14ac:dyDescent="0.3">
      <c r="A40" s="220"/>
      <c r="B40" s="226"/>
      <c r="C40" s="200"/>
      <c r="D40" s="13" t="s">
        <v>196</v>
      </c>
      <c r="E40" s="125">
        <v>2510480</v>
      </c>
      <c r="F40" s="131">
        <v>20720</v>
      </c>
      <c r="G40" s="106">
        <f t="shared" si="0"/>
        <v>2531200</v>
      </c>
    </row>
    <row r="41" spans="1:9" x14ac:dyDescent="0.3">
      <c r="A41" s="220"/>
      <c r="B41" s="226"/>
      <c r="C41" s="200"/>
      <c r="D41" s="13" t="s">
        <v>77</v>
      </c>
      <c r="E41" s="125">
        <v>54000</v>
      </c>
      <c r="F41" s="130"/>
      <c r="G41" s="106">
        <f t="shared" si="0"/>
        <v>54000</v>
      </c>
    </row>
    <row r="42" spans="1:9" x14ac:dyDescent="0.3">
      <c r="A42" s="220"/>
      <c r="B42" s="226"/>
      <c r="C42" s="201"/>
      <c r="D42" s="13" t="s">
        <v>81</v>
      </c>
      <c r="E42" s="125">
        <v>11400</v>
      </c>
      <c r="F42" s="130"/>
      <c r="G42" s="106">
        <f t="shared" si="0"/>
        <v>11400</v>
      </c>
    </row>
    <row r="43" spans="1:9" x14ac:dyDescent="0.3">
      <c r="A43" s="220"/>
      <c r="B43" s="226"/>
      <c r="C43" s="48" t="s">
        <v>195</v>
      </c>
      <c r="D43" s="14"/>
      <c r="E43" s="119">
        <f>SUBTOTAL(9,E37:E42)</f>
        <v>12510844</v>
      </c>
      <c r="F43" s="119">
        <f>SUBTOTAL(9,F37:F42)</f>
        <v>20720</v>
      </c>
      <c r="G43" s="105">
        <f t="shared" si="0"/>
        <v>12531564</v>
      </c>
    </row>
    <row r="44" spans="1:9" ht="15" customHeight="1" x14ac:dyDescent="0.3">
      <c r="A44" s="220"/>
      <c r="B44" s="226"/>
      <c r="C44" s="222" t="s">
        <v>89</v>
      </c>
      <c r="D44" s="13" t="s">
        <v>72</v>
      </c>
      <c r="E44" s="125">
        <v>300734</v>
      </c>
      <c r="F44" s="131"/>
      <c r="G44" s="106">
        <f t="shared" si="0"/>
        <v>300734</v>
      </c>
    </row>
    <row r="45" spans="1:9" x14ac:dyDescent="0.3">
      <c r="A45" s="220"/>
      <c r="B45" s="226"/>
      <c r="C45" s="201"/>
      <c r="D45" s="13" t="s">
        <v>88</v>
      </c>
      <c r="E45" s="125">
        <v>49566</v>
      </c>
      <c r="F45" s="131"/>
      <c r="G45" s="106">
        <f t="shared" si="0"/>
        <v>49566</v>
      </c>
    </row>
    <row r="46" spans="1:9" x14ac:dyDescent="0.3">
      <c r="A46" s="220"/>
      <c r="B46" s="226"/>
      <c r="C46" s="48" t="s">
        <v>195</v>
      </c>
      <c r="D46" s="14"/>
      <c r="E46" s="119">
        <f>SUBTOTAL(9,E44:E45)</f>
        <v>350300</v>
      </c>
      <c r="F46" s="130"/>
      <c r="G46" s="105">
        <f t="shared" si="0"/>
        <v>350300</v>
      </c>
    </row>
    <row r="47" spans="1:9" x14ac:dyDescent="0.3">
      <c r="A47" s="220"/>
      <c r="B47" s="226"/>
      <c r="C47" s="87" t="s">
        <v>90</v>
      </c>
      <c r="D47" s="13" t="s">
        <v>72</v>
      </c>
      <c r="E47" s="125">
        <v>567000</v>
      </c>
      <c r="F47" s="112"/>
      <c r="G47" s="106">
        <f t="shared" si="0"/>
        <v>567000</v>
      </c>
    </row>
    <row r="48" spans="1:9" ht="15" customHeight="1" x14ac:dyDescent="0.3">
      <c r="A48" s="220"/>
      <c r="B48" s="226"/>
      <c r="C48" s="48" t="s">
        <v>195</v>
      </c>
      <c r="D48" s="14"/>
      <c r="E48" s="119">
        <f>SUBTOTAL(9,E47:E47)</f>
        <v>567000</v>
      </c>
      <c r="F48" s="130"/>
      <c r="G48" s="105">
        <f t="shared" si="0"/>
        <v>567000</v>
      </c>
    </row>
    <row r="49" spans="1:7" x14ac:dyDescent="0.3">
      <c r="A49" s="220"/>
      <c r="B49" s="226"/>
      <c r="C49" s="223" t="s">
        <v>91</v>
      </c>
      <c r="D49" s="13" t="s">
        <v>72</v>
      </c>
      <c r="E49" s="125">
        <v>1250300</v>
      </c>
      <c r="F49" s="131"/>
      <c r="G49" s="106">
        <f t="shared" si="0"/>
        <v>1250300</v>
      </c>
    </row>
    <row r="50" spans="1:7" x14ac:dyDescent="0.3">
      <c r="A50" s="220"/>
      <c r="B50" s="226"/>
      <c r="C50" s="224"/>
      <c r="D50" s="13" t="s">
        <v>92</v>
      </c>
      <c r="E50" s="125">
        <v>650103</v>
      </c>
      <c r="F50" s="131"/>
      <c r="G50" s="106">
        <f t="shared" si="0"/>
        <v>650103</v>
      </c>
    </row>
    <row r="51" spans="1:7" x14ac:dyDescent="0.3">
      <c r="A51" s="220"/>
      <c r="B51" s="226"/>
      <c r="C51" s="224"/>
      <c r="D51" s="13" t="s">
        <v>81</v>
      </c>
      <c r="E51" s="125">
        <v>247000</v>
      </c>
      <c r="F51" s="131">
        <v>9822</v>
      </c>
      <c r="G51" s="106">
        <f t="shared" si="0"/>
        <v>256822</v>
      </c>
    </row>
    <row r="52" spans="1:7" x14ac:dyDescent="0.3">
      <c r="A52" s="220"/>
      <c r="B52" s="226"/>
      <c r="C52" s="224"/>
      <c r="D52" s="13" t="s">
        <v>93</v>
      </c>
      <c r="E52" s="125">
        <v>321516</v>
      </c>
      <c r="F52" s="131">
        <v>11231</v>
      </c>
      <c r="G52" s="106">
        <f t="shared" si="0"/>
        <v>332747</v>
      </c>
    </row>
    <row r="53" spans="1:7" x14ac:dyDescent="0.3">
      <c r="A53" s="220"/>
      <c r="B53" s="226"/>
      <c r="C53" s="224"/>
      <c r="D53" s="13" t="s">
        <v>77</v>
      </c>
      <c r="E53" s="125">
        <v>117000</v>
      </c>
      <c r="F53" s="131">
        <v>49659</v>
      </c>
      <c r="G53" s="106">
        <f t="shared" si="0"/>
        <v>166659</v>
      </c>
    </row>
    <row r="54" spans="1:7" ht="24" x14ac:dyDescent="0.3">
      <c r="A54" s="220"/>
      <c r="B54" s="226"/>
      <c r="C54" s="87" t="s">
        <v>94</v>
      </c>
      <c r="D54" s="88" t="s">
        <v>92</v>
      </c>
      <c r="E54" s="126">
        <f>3384064</f>
        <v>3384064</v>
      </c>
      <c r="F54" s="130"/>
      <c r="G54" s="106">
        <f t="shared" si="0"/>
        <v>3384064</v>
      </c>
    </row>
    <row r="55" spans="1:7" x14ac:dyDescent="0.3">
      <c r="A55" s="220"/>
      <c r="B55" s="226"/>
      <c r="C55" s="48" t="s">
        <v>195</v>
      </c>
      <c r="D55" s="14"/>
      <c r="E55" s="119">
        <f>SUBTOTAL(9,E49:E54)</f>
        <v>5969983</v>
      </c>
      <c r="F55" s="119">
        <f>SUBTOTAL(9,F49:F54)</f>
        <v>70712</v>
      </c>
      <c r="G55" s="105">
        <f t="shared" si="0"/>
        <v>6040695</v>
      </c>
    </row>
    <row r="56" spans="1:7" ht="15" customHeight="1" x14ac:dyDescent="0.3">
      <c r="A56" s="220"/>
      <c r="B56" s="226"/>
      <c r="C56" s="223" t="s">
        <v>95</v>
      </c>
      <c r="D56" s="13" t="s">
        <v>72</v>
      </c>
      <c r="E56" s="125">
        <f>3023000</f>
        <v>3023000</v>
      </c>
      <c r="F56" s="130"/>
      <c r="G56" s="106">
        <f t="shared" si="0"/>
        <v>3023000</v>
      </c>
    </row>
    <row r="57" spans="1:7" x14ac:dyDescent="0.3">
      <c r="A57" s="220"/>
      <c r="B57" s="226"/>
      <c r="C57" s="224"/>
      <c r="D57" s="13" t="s">
        <v>76</v>
      </c>
      <c r="E57" s="125">
        <v>2713100</v>
      </c>
      <c r="F57" s="130"/>
      <c r="G57" s="106">
        <f t="shared" si="0"/>
        <v>2713100</v>
      </c>
    </row>
    <row r="58" spans="1:7" x14ac:dyDescent="0.3">
      <c r="A58" s="220"/>
      <c r="B58" s="226"/>
      <c r="C58" s="224"/>
      <c r="D58" s="13" t="s">
        <v>81</v>
      </c>
      <c r="E58" s="125">
        <v>1600</v>
      </c>
      <c r="F58" s="130"/>
      <c r="G58" s="106">
        <f t="shared" si="0"/>
        <v>1600</v>
      </c>
    </row>
    <row r="59" spans="1:7" x14ac:dyDescent="0.3">
      <c r="A59" s="220"/>
      <c r="B59" s="226"/>
      <c r="C59" s="224"/>
      <c r="D59" s="13" t="s">
        <v>93</v>
      </c>
      <c r="E59" s="125">
        <v>307809</v>
      </c>
      <c r="F59" s="131">
        <v>2661</v>
      </c>
      <c r="G59" s="106">
        <f t="shared" si="0"/>
        <v>310470</v>
      </c>
    </row>
    <row r="60" spans="1:7" x14ac:dyDescent="0.3">
      <c r="A60" s="220"/>
      <c r="B60" s="226"/>
      <c r="C60" s="224"/>
      <c r="D60" s="13" t="s">
        <v>77</v>
      </c>
      <c r="E60" s="125">
        <v>14400</v>
      </c>
      <c r="F60" s="112"/>
      <c r="G60" s="106">
        <f t="shared" si="0"/>
        <v>14400</v>
      </c>
    </row>
    <row r="61" spans="1:7" ht="15" customHeight="1" x14ac:dyDescent="0.3">
      <c r="A61" s="220"/>
      <c r="B61" s="226"/>
      <c r="C61" s="48" t="s">
        <v>195</v>
      </c>
      <c r="D61" s="14"/>
      <c r="E61" s="119">
        <f>SUBTOTAL(9,E56:E60)</f>
        <v>6059909</v>
      </c>
      <c r="F61" s="112">
        <f>SUBTOTAL(9,F56:F60)</f>
        <v>2661</v>
      </c>
      <c r="G61" s="105">
        <f t="shared" si="0"/>
        <v>6062570</v>
      </c>
    </row>
    <row r="62" spans="1:7" ht="24" x14ac:dyDescent="0.3">
      <c r="A62" s="220"/>
      <c r="B62" s="226"/>
      <c r="C62" s="49" t="s">
        <v>96</v>
      </c>
      <c r="D62" s="13" t="s">
        <v>72</v>
      </c>
      <c r="E62" s="125">
        <v>855000</v>
      </c>
      <c r="F62" s="131">
        <v>-36500</v>
      </c>
      <c r="G62" s="106">
        <f t="shared" si="0"/>
        <v>818500</v>
      </c>
    </row>
    <row r="63" spans="1:7" x14ac:dyDescent="0.3">
      <c r="A63" s="220"/>
      <c r="B63" s="226"/>
      <c r="C63" s="48" t="s">
        <v>195</v>
      </c>
      <c r="D63" s="13"/>
      <c r="E63" s="119">
        <f>SUBTOTAL(9,E62:E62)</f>
        <v>855000</v>
      </c>
      <c r="F63" s="196">
        <v>-36500</v>
      </c>
      <c r="G63" s="105">
        <f t="shared" si="0"/>
        <v>818500</v>
      </c>
    </row>
    <row r="64" spans="1:7" ht="15" customHeight="1" x14ac:dyDescent="0.3">
      <c r="A64" s="220"/>
      <c r="B64" s="226"/>
      <c r="C64" s="222" t="s">
        <v>97</v>
      </c>
      <c r="D64" s="13" t="s">
        <v>72</v>
      </c>
      <c r="E64" s="125">
        <v>175000</v>
      </c>
      <c r="F64" s="130"/>
      <c r="G64" s="106">
        <f t="shared" si="0"/>
        <v>175000</v>
      </c>
    </row>
    <row r="65" spans="1:7" x14ac:dyDescent="0.3">
      <c r="A65" s="220"/>
      <c r="B65" s="226"/>
      <c r="C65" s="200"/>
      <c r="D65" s="13" t="s">
        <v>87</v>
      </c>
      <c r="E65" s="125">
        <v>75000</v>
      </c>
      <c r="F65" s="130"/>
      <c r="G65" s="106">
        <f t="shared" si="0"/>
        <v>75000</v>
      </c>
    </row>
    <row r="66" spans="1:7" x14ac:dyDescent="0.3">
      <c r="A66" s="220"/>
      <c r="B66" s="226"/>
      <c r="C66" s="200"/>
      <c r="D66" s="13" t="s">
        <v>76</v>
      </c>
      <c r="E66" s="125">
        <f>98328</f>
        <v>98328</v>
      </c>
      <c r="F66" s="130"/>
      <c r="G66" s="106">
        <f t="shared" si="0"/>
        <v>98328</v>
      </c>
    </row>
    <row r="67" spans="1:7" x14ac:dyDescent="0.3">
      <c r="A67" s="220"/>
      <c r="B67" s="226"/>
      <c r="C67" s="48" t="s">
        <v>195</v>
      </c>
      <c r="D67" s="14"/>
      <c r="E67" s="119">
        <f>SUBTOTAL(9,E64:E66)</f>
        <v>348328</v>
      </c>
      <c r="F67" s="112">
        <f>SUM(F64:F66)</f>
        <v>0</v>
      </c>
      <c r="G67" s="105">
        <f t="shared" si="0"/>
        <v>348328</v>
      </c>
    </row>
    <row r="68" spans="1:7" ht="24.6" thickBot="1" x14ac:dyDescent="0.35">
      <c r="A68" s="221"/>
      <c r="B68" s="38" t="s">
        <v>73</v>
      </c>
      <c r="C68" s="39"/>
      <c r="D68" s="40"/>
      <c r="E68" s="120">
        <f>E19+E22+E28+E36+E43+E46+E48+E55+E61+E63+E67</f>
        <v>51308523</v>
      </c>
      <c r="F68" s="120">
        <f>F19+F22+F28+F36+F43+F46+F48+F55+F61+F63+F67</f>
        <v>526861</v>
      </c>
      <c r="G68" s="121">
        <f t="shared" si="0"/>
        <v>51835384</v>
      </c>
    </row>
    <row r="69" spans="1:7" ht="15.75" customHeight="1" x14ac:dyDescent="0.3">
      <c r="A69" s="213" t="s">
        <v>6</v>
      </c>
      <c r="B69" s="199" t="s">
        <v>98</v>
      </c>
      <c r="C69" s="199" t="s">
        <v>71</v>
      </c>
      <c r="D69" s="89" t="s">
        <v>72</v>
      </c>
      <c r="E69" s="109">
        <v>59035</v>
      </c>
      <c r="F69" s="132"/>
      <c r="G69" s="104">
        <f t="shared" si="0"/>
        <v>59035</v>
      </c>
    </row>
    <row r="70" spans="1:7" x14ac:dyDescent="0.3">
      <c r="A70" s="215"/>
      <c r="B70" s="201"/>
      <c r="C70" s="201"/>
      <c r="D70" s="86" t="s">
        <v>76</v>
      </c>
      <c r="E70" s="18">
        <v>730600</v>
      </c>
      <c r="F70" s="133"/>
      <c r="G70" s="106">
        <f t="shared" si="0"/>
        <v>730600</v>
      </c>
    </row>
    <row r="71" spans="1:7" ht="24.6" thickBot="1" x14ac:dyDescent="0.35">
      <c r="A71" s="214"/>
      <c r="B71" s="38" t="s">
        <v>73</v>
      </c>
      <c r="C71" s="39"/>
      <c r="D71" s="40"/>
      <c r="E71" s="110">
        <f>SUBTOTAL(9,E69:E70)</f>
        <v>789635</v>
      </c>
      <c r="F71" s="128"/>
      <c r="G71" s="121">
        <f t="shared" si="0"/>
        <v>789635</v>
      </c>
    </row>
    <row r="72" spans="1:7" ht="36" x14ac:dyDescent="0.3">
      <c r="A72" s="215" t="s">
        <v>16</v>
      </c>
      <c r="B72" s="85" t="s">
        <v>99</v>
      </c>
      <c r="C72" s="103" t="s">
        <v>78</v>
      </c>
      <c r="D72" s="88" t="s">
        <v>72</v>
      </c>
      <c r="E72" s="113">
        <v>304903</v>
      </c>
      <c r="F72" s="134"/>
      <c r="G72" s="104">
        <f t="shared" si="0"/>
        <v>304903</v>
      </c>
    </row>
    <row r="73" spans="1:7" ht="24.6" thickBot="1" x14ac:dyDescent="0.35">
      <c r="A73" s="214"/>
      <c r="B73" s="38" t="s">
        <v>73</v>
      </c>
      <c r="C73" s="39"/>
      <c r="D73" s="40"/>
      <c r="E73" s="110">
        <f>SUBTOTAL(9,E72:E72)</f>
        <v>304903</v>
      </c>
      <c r="F73" s="128"/>
      <c r="G73" s="121">
        <f t="shared" si="0"/>
        <v>304903</v>
      </c>
    </row>
    <row r="74" spans="1:7" ht="36" x14ac:dyDescent="0.3">
      <c r="A74" s="213" t="s">
        <v>24</v>
      </c>
      <c r="B74" s="10" t="s">
        <v>100</v>
      </c>
      <c r="C74" s="12" t="s">
        <v>78</v>
      </c>
      <c r="D74" s="11" t="s">
        <v>72</v>
      </c>
      <c r="E74" s="109">
        <v>166129</v>
      </c>
      <c r="F74" s="134"/>
      <c r="G74" s="123">
        <f t="shared" si="0"/>
        <v>166129</v>
      </c>
    </row>
    <row r="75" spans="1:7" ht="24.6" thickBot="1" x14ac:dyDescent="0.35">
      <c r="A75" s="214"/>
      <c r="B75" s="38" t="s">
        <v>73</v>
      </c>
      <c r="C75" s="39"/>
      <c r="D75" s="40"/>
      <c r="E75" s="110">
        <f>SUBTOTAL(9,E74:E74)</f>
        <v>166129</v>
      </c>
      <c r="F75" s="128"/>
      <c r="G75" s="121">
        <f t="shared" si="0"/>
        <v>166129</v>
      </c>
    </row>
    <row r="76" spans="1:7" ht="36" x14ac:dyDescent="0.3">
      <c r="A76" s="213" t="s">
        <v>26</v>
      </c>
      <c r="B76" s="10" t="s">
        <v>101</v>
      </c>
      <c r="C76" s="12" t="s">
        <v>78</v>
      </c>
      <c r="D76" s="11" t="s">
        <v>72</v>
      </c>
      <c r="E76" s="109">
        <v>182389</v>
      </c>
      <c r="F76" s="134"/>
      <c r="G76" s="123">
        <f t="shared" si="0"/>
        <v>182389</v>
      </c>
    </row>
    <row r="77" spans="1:7" ht="24.6" thickBot="1" x14ac:dyDescent="0.35">
      <c r="A77" s="214"/>
      <c r="B77" s="38" t="s">
        <v>73</v>
      </c>
      <c r="C77" s="39"/>
      <c r="D77" s="40"/>
      <c r="E77" s="110">
        <f>SUBTOTAL(9,E76:E76)</f>
        <v>182389</v>
      </c>
      <c r="F77" s="128"/>
      <c r="G77" s="121">
        <f t="shared" si="0"/>
        <v>182389</v>
      </c>
    </row>
    <row r="78" spans="1:7" ht="48" x14ac:dyDescent="0.3">
      <c r="A78" s="213" t="s">
        <v>30</v>
      </c>
      <c r="B78" s="12" t="s">
        <v>102</v>
      </c>
      <c r="C78" s="12" t="s">
        <v>78</v>
      </c>
      <c r="D78" s="11" t="s">
        <v>72</v>
      </c>
      <c r="E78" s="124">
        <v>1694444</v>
      </c>
      <c r="F78" s="138"/>
      <c r="G78" s="123">
        <f t="shared" si="0"/>
        <v>1694444</v>
      </c>
    </row>
    <row r="79" spans="1:7" ht="24.6" thickBot="1" x14ac:dyDescent="0.35">
      <c r="A79" s="214"/>
      <c r="B79" s="38" t="s">
        <v>73</v>
      </c>
      <c r="C79" s="39"/>
      <c r="D79" s="40"/>
      <c r="E79" s="172">
        <v>1694444</v>
      </c>
      <c r="F79" s="110">
        <f>SUBTOTAL(9,F78:F78)</f>
        <v>0</v>
      </c>
      <c r="G79" s="121">
        <f t="shared" ref="G79:G142" si="2">E79+F79</f>
        <v>1694444</v>
      </c>
    </row>
    <row r="80" spans="1:7" ht="36" x14ac:dyDescent="0.3">
      <c r="A80" s="213" t="s">
        <v>38</v>
      </c>
      <c r="B80" s="10" t="s">
        <v>103</v>
      </c>
      <c r="C80" s="12" t="s">
        <v>78</v>
      </c>
      <c r="D80" s="11" t="s">
        <v>72</v>
      </c>
      <c r="E80" s="109">
        <v>206176</v>
      </c>
      <c r="F80" s="134"/>
      <c r="G80" s="123">
        <f t="shared" si="2"/>
        <v>206176</v>
      </c>
    </row>
    <row r="81" spans="1:7" ht="24.6" thickBot="1" x14ac:dyDescent="0.35">
      <c r="A81" s="214"/>
      <c r="B81" s="38" t="s">
        <v>73</v>
      </c>
      <c r="C81" s="39"/>
      <c r="D81" s="40"/>
      <c r="E81" s="110">
        <f>SUBTOTAL(9,E80:E80)</f>
        <v>206176</v>
      </c>
      <c r="F81" s="128"/>
      <c r="G81" s="121">
        <f t="shared" si="2"/>
        <v>206176</v>
      </c>
    </row>
    <row r="82" spans="1:7" ht="19.5" customHeight="1" x14ac:dyDescent="0.3">
      <c r="A82" s="213" t="s">
        <v>43</v>
      </c>
      <c r="B82" s="10" t="s">
        <v>104</v>
      </c>
      <c r="C82" s="12" t="s">
        <v>78</v>
      </c>
      <c r="D82" s="11" t="s">
        <v>72</v>
      </c>
      <c r="E82" s="109">
        <v>142332</v>
      </c>
      <c r="F82" s="134"/>
      <c r="G82" s="123">
        <f t="shared" si="2"/>
        <v>142332</v>
      </c>
    </row>
    <row r="83" spans="1:7" ht="24.6" thickBot="1" x14ac:dyDescent="0.35">
      <c r="A83" s="214"/>
      <c r="B83" s="38" t="s">
        <v>73</v>
      </c>
      <c r="C83" s="39"/>
      <c r="D83" s="40"/>
      <c r="E83" s="110">
        <f>SUBTOTAL(9,E82:E82)</f>
        <v>142332</v>
      </c>
      <c r="F83" s="128"/>
      <c r="G83" s="121">
        <f t="shared" si="2"/>
        <v>142332</v>
      </c>
    </row>
    <row r="84" spans="1:7" ht="36" x14ac:dyDescent="0.3">
      <c r="A84" s="213" t="s">
        <v>45</v>
      </c>
      <c r="B84" s="10" t="s">
        <v>105</v>
      </c>
      <c r="C84" s="12" t="s">
        <v>78</v>
      </c>
      <c r="D84" s="11" t="s">
        <v>72</v>
      </c>
      <c r="E84" s="109">
        <v>283625</v>
      </c>
      <c r="F84" s="134"/>
      <c r="G84" s="123">
        <f t="shared" si="2"/>
        <v>283625</v>
      </c>
    </row>
    <row r="85" spans="1:7" ht="21" customHeight="1" thickBot="1" x14ac:dyDescent="0.35">
      <c r="A85" s="214"/>
      <c r="B85" s="38" t="s">
        <v>73</v>
      </c>
      <c r="C85" s="39"/>
      <c r="D85" s="40"/>
      <c r="E85" s="110">
        <f>SUBTOTAL(9,E84:E84)</f>
        <v>283625</v>
      </c>
      <c r="F85" s="128"/>
      <c r="G85" s="121">
        <f t="shared" si="2"/>
        <v>283625</v>
      </c>
    </row>
    <row r="86" spans="1:7" ht="36" x14ac:dyDescent="0.3">
      <c r="A86" s="213" t="s">
        <v>49</v>
      </c>
      <c r="B86" s="10" t="s">
        <v>106</v>
      </c>
      <c r="C86" s="12" t="s">
        <v>78</v>
      </c>
      <c r="D86" s="11" t="s">
        <v>72</v>
      </c>
      <c r="E86" s="109">
        <v>148626</v>
      </c>
      <c r="F86" s="134"/>
      <c r="G86" s="123">
        <f t="shared" si="2"/>
        <v>148626</v>
      </c>
    </row>
    <row r="87" spans="1:7" ht="24.6" thickBot="1" x14ac:dyDescent="0.35">
      <c r="A87" s="214"/>
      <c r="B87" s="38" t="s">
        <v>73</v>
      </c>
      <c r="C87" s="39"/>
      <c r="D87" s="40"/>
      <c r="E87" s="110">
        <f>SUBTOTAL(9,E86:E86)</f>
        <v>148626</v>
      </c>
      <c r="F87" s="128"/>
      <c r="G87" s="121">
        <f t="shared" si="2"/>
        <v>148626</v>
      </c>
    </row>
    <row r="88" spans="1:7" ht="21" customHeight="1" x14ac:dyDescent="0.3">
      <c r="A88" s="213" t="s">
        <v>50</v>
      </c>
      <c r="B88" s="10" t="s">
        <v>107</v>
      </c>
      <c r="C88" s="12" t="s">
        <v>78</v>
      </c>
      <c r="D88" s="11" t="s">
        <v>72</v>
      </c>
      <c r="E88" s="109">
        <v>212533</v>
      </c>
      <c r="F88" s="134"/>
      <c r="G88" s="123">
        <f t="shared" si="2"/>
        <v>212533</v>
      </c>
    </row>
    <row r="89" spans="1:7" ht="24.6" thickBot="1" x14ac:dyDescent="0.35">
      <c r="A89" s="214"/>
      <c r="B89" s="38" t="s">
        <v>73</v>
      </c>
      <c r="C89" s="39"/>
      <c r="D89" s="40"/>
      <c r="E89" s="110">
        <f>SUBTOTAL(9,E88:E88)</f>
        <v>212533</v>
      </c>
      <c r="F89" s="128"/>
      <c r="G89" s="121">
        <f t="shared" si="2"/>
        <v>212533</v>
      </c>
    </row>
    <row r="90" spans="1:7" ht="15.75" customHeight="1" x14ac:dyDescent="0.3">
      <c r="A90" s="213" t="s">
        <v>52</v>
      </c>
      <c r="B90" s="199" t="s">
        <v>108</v>
      </c>
      <c r="C90" s="199" t="s">
        <v>89</v>
      </c>
      <c r="D90" s="11" t="s">
        <v>72</v>
      </c>
      <c r="E90" s="109">
        <v>29411</v>
      </c>
      <c r="F90" s="134"/>
      <c r="G90" s="123">
        <f t="shared" si="2"/>
        <v>29411</v>
      </c>
    </row>
    <row r="91" spans="1:7" ht="15" customHeight="1" x14ac:dyDescent="0.3">
      <c r="A91" s="215"/>
      <c r="B91" s="201"/>
      <c r="C91" s="201"/>
      <c r="D91" s="13" t="s">
        <v>76</v>
      </c>
      <c r="E91" s="111">
        <v>489770</v>
      </c>
      <c r="F91" s="133"/>
      <c r="G91" s="106">
        <f t="shared" si="2"/>
        <v>489770</v>
      </c>
    </row>
    <row r="92" spans="1:7" ht="24.6" thickBot="1" x14ac:dyDescent="0.35">
      <c r="A92" s="214"/>
      <c r="B92" s="38" t="s">
        <v>73</v>
      </c>
      <c r="C92" s="39"/>
      <c r="D92" s="40"/>
      <c r="E92" s="110">
        <f>SUBTOTAL(9,E90:E91)</f>
        <v>519181</v>
      </c>
      <c r="F92" s="128"/>
      <c r="G92" s="121">
        <f t="shared" si="2"/>
        <v>519181</v>
      </c>
    </row>
    <row r="93" spans="1:7" ht="15" customHeight="1" x14ac:dyDescent="0.3">
      <c r="A93" s="213" t="s">
        <v>54</v>
      </c>
      <c r="B93" s="199" t="s">
        <v>109</v>
      </c>
      <c r="C93" s="199" t="s">
        <v>90</v>
      </c>
      <c r="D93" s="11" t="s">
        <v>72</v>
      </c>
      <c r="E93" s="109">
        <v>1693456</v>
      </c>
      <c r="F93" s="134"/>
      <c r="G93" s="123">
        <f t="shared" si="2"/>
        <v>1693456</v>
      </c>
    </row>
    <row r="94" spans="1:7" x14ac:dyDescent="0.3">
      <c r="A94" s="215"/>
      <c r="B94" s="201"/>
      <c r="C94" s="201"/>
      <c r="D94" s="14" t="s">
        <v>75</v>
      </c>
      <c r="E94" s="114">
        <v>112200</v>
      </c>
      <c r="F94" s="133"/>
      <c r="G94" s="106">
        <f t="shared" si="2"/>
        <v>112200</v>
      </c>
    </row>
    <row r="95" spans="1:7" ht="21.75" customHeight="1" thickBot="1" x14ac:dyDescent="0.35">
      <c r="A95" s="214"/>
      <c r="B95" s="38" t="s">
        <v>73</v>
      </c>
      <c r="C95" s="39"/>
      <c r="D95" s="40"/>
      <c r="E95" s="110">
        <f>SUBTOTAL(9,E93:E94)</f>
        <v>1805656</v>
      </c>
      <c r="F95" s="128"/>
      <c r="G95" s="121">
        <f t="shared" si="2"/>
        <v>1805656</v>
      </c>
    </row>
    <row r="96" spans="1:7" ht="15" customHeight="1" x14ac:dyDescent="0.3">
      <c r="A96" s="213" t="s">
        <v>56</v>
      </c>
      <c r="B96" s="199" t="s">
        <v>110</v>
      </c>
      <c r="C96" s="199" t="s">
        <v>90</v>
      </c>
      <c r="D96" s="11" t="s">
        <v>72</v>
      </c>
      <c r="E96" s="109">
        <v>396287</v>
      </c>
      <c r="F96" s="134"/>
      <c r="G96" s="123">
        <f t="shared" si="2"/>
        <v>396287</v>
      </c>
    </row>
    <row r="97" spans="1:7" x14ac:dyDescent="0.3">
      <c r="A97" s="215"/>
      <c r="B97" s="201"/>
      <c r="C97" s="201"/>
      <c r="D97" s="14" t="s">
        <v>75</v>
      </c>
      <c r="E97" s="114">
        <v>20900</v>
      </c>
      <c r="F97" s="133"/>
      <c r="G97" s="106">
        <f t="shared" si="2"/>
        <v>20900</v>
      </c>
    </row>
    <row r="98" spans="1:7" ht="21.75" customHeight="1" thickBot="1" x14ac:dyDescent="0.35">
      <c r="A98" s="214"/>
      <c r="B98" s="38" t="s">
        <v>73</v>
      </c>
      <c r="C98" s="39"/>
      <c r="D98" s="40"/>
      <c r="E98" s="110">
        <f>SUBTOTAL(9,E96:E97)</f>
        <v>417187</v>
      </c>
      <c r="F98" s="128"/>
      <c r="G98" s="121">
        <f t="shared" si="2"/>
        <v>417187</v>
      </c>
    </row>
    <row r="99" spans="1:7" ht="30" customHeight="1" x14ac:dyDescent="0.3">
      <c r="A99" s="213" t="s">
        <v>58</v>
      </c>
      <c r="B99" s="199" t="s">
        <v>111</v>
      </c>
      <c r="C99" s="199" t="s">
        <v>90</v>
      </c>
      <c r="D99" s="11" t="s">
        <v>72</v>
      </c>
      <c r="E99" s="109">
        <v>1475527</v>
      </c>
      <c r="F99" s="134"/>
      <c r="G99" s="123">
        <f t="shared" si="2"/>
        <v>1475527</v>
      </c>
    </row>
    <row r="100" spans="1:7" x14ac:dyDescent="0.3">
      <c r="A100" s="215"/>
      <c r="B100" s="200"/>
      <c r="C100" s="200"/>
      <c r="D100" s="14" t="s">
        <v>75</v>
      </c>
      <c r="E100" s="114">
        <f>19000</f>
        <v>19000</v>
      </c>
      <c r="F100" s="133"/>
      <c r="G100" s="106">
        <f t="shared" si="2"/>
        <v>19000</v>
      </c>
    </row>
    <row r="101" spans="1:7" ht="15" customHeight="1" x14ac:dyDescent="0.3">
      <c r="A101" s="215"/>
      <c r="B101" s="201"/>
      <c r="C101" s="201"/>
      <c r="D101" s="13" t="s">
        <v>93</v>
      </c>
      <c r="E101" s="111">
        <v>45700</v>
      </c>
      <c r="F101" s="133"/>
      <c r="G101" s="106">
        <f t="shared" si="2"/>
        <v>45700</v>
      </c>
    </row>
    <row r="102" spans="1:7" ht="24.6" thickBot="1" x14ac:dyDescent="0.35">
      <c r="A102" s="214"/>
      <c r="B102" s="38" t="s">
        <v>73</v>
      </c>
      <c r="C102" s="39"/>
      <c r="D102" s="40"/>
      <c r="E102" s="110">
        <f>SUBTOTAL(9,E99:E101)</f>
        <v>1540227</v>
      </c>
      <c r="F102" s="128"/>
      <c r="G102" s="121">
        <f t="shared" si="2"/>
        <v>1540227</v>
      </c>
    </row>
    <row r="103" spans="1:7" ht="15" customHeight="1" x14ac:dyDescent="0.3">
      <c r="A103" s="213" t="s">
        <v>60</v>
      </c>
      <c r="B103" s="199" t="s">
        <v>112</v>
      </c>
      <c r="C103" s="199" t="s">
        <v>90</v>
      </c>
      <c r="D103" s="11" t="s">
        <v>72</v>
      </c>
      <c r="E103" s="109">
        <v>1196222</v>
      </c>
      <c r="F103" s="134"/>
      <c r="G103" s="123">
        <f t="shared" si="2"/>
        <v>1196222</v>
      </c>
    </row>
    <row r="104" spans="1:7" x14ac:dyDescent="0.3">
      <c r="A104" s="215"/>
      <c r="B104" s="200"/>
      <c r="C104" s="200"/>
      <c r="D104" s="13" t="s">
        <v>75</v>
      </c>
      <c r="E104" s="111">
        <v>515300</v>
      </c>
      <c r="F104" s="135"/>
      <c r="G104" s="106">
        <f t="shared" si="2"/>
        <v>515300</v>
      </c>
    </row>
    <row r="105" spans="1:7" ht="24.6" thickBot="1" x14ac:dyDescent="0.35">
      <c r="A105" s="214"/>
      <c r="B105" s="38" t="s">
        <v>73</v>
      </c>
      <c r="C105" s="39"/>
      <c r="D105" s="40"/>
      <c r="E105" s="110">
        <f>SUBTOTAL(9,E103:E104)</f>
        <v>1711522</v>
      </c>
      <c r="F105" s="136"/>
      <c r="G105" s="121">
        <f t="shared" si="2"/>
        <v>1711522</v>
      </c>
    </row>
    <row r="106" spans="1:7" ht="15.75" customHeight="1" x14ac:dyDescent="0.3">
      <c r="A106" s="213" t="s">
        <v>61</v>
      </c>
      <c r="B106" s="199" t="s">
        <v>113</v>
      </c>
      <c r="C106" s="199" t="s">
        <v>91</v>
      </c>
      <c r="D106" s="11" t="s">
        <v>72</v>
      </c>
      <c r="E106" s="109">
        <f>501310</f>
        <v>501310</v>
      </c>
      <c r="F106" s="137"/>
      <c r="G106" s="123">
        <f t="shared" si="2"/>
        <v>501310</v>
      </c>
    </row>
    <row r="107" spans="1:7" ht="15" customHeight="1" x14ac:dyDescent="0.3">
      <c r="A107" s="215"/>
      <c r="B107" s="200"/>
      <c r="C107" s="200"/>
      <c r="D107" s="14" t="s">
        <v>75</v>
      </c>
      <c r="E107" s="114">
        <f>14000</f>
        <v>14000</v>
      </c>
      <c r="F107" s="133"/>
      <c r="G107" s="106">
        <f t="shared" si="2"/>
        <v>14000</v>
      </c>
    </row>
    <row r="108" spans="1:7" x14ac:dyDescent="0.3">
      <c r="A108" s="215"/>
      <c r="B108" s="200"/>
      <c r="C108" s="200"/>
      <c r="D108" s="13" t="s">
        <v>92</v>
      </c>
      <c r="E108" s="111">
        <v>2096782</v>
      </c>
      <c r="F108" s="133"/>
      <c r="G108" s="106">
        <f t="shared" si="2"/>
        <v>2096782</v>
      </c>
    </row>
    <row r="109" spans="1:7" ht="24.6" thickBot="1" x14ac:dyDescent="0.35">
      <c r="A109" s="214"/>
      <c r="B109" s="38" t="s">
        <v>73</v>
      </c>
      <c r="C109" s="39"/>
      <c r="D109" s="40"/>
      <c r="E109" s="110">
        <f>SUBTOTAL(9,E106:E108)</f>
        <v>2612092</v>
      </c>
      <c r="F109" s="128"/>
      <c r="G109" s="121">
        <f t="shared" si="2"/>
        <v>2612092</v>
      </c>
    </row>
    <row r="110" spans="1:7" ht="15.75" customHeight="1" x14ac:dyDescent="0.3">
      <c r="A110" s="213" t="s">
        <v>62</v>
      </c>
      <c r="B110" s="199" t="s">
        <v>114</v>
      </c>
      <c r="C110" s="199" t="s">
        <v>91</v>
      </c>
      <c r="D110" s="11" t="s">
        <v>72</v>
      </c>
      <c r="E110" s="109">
        <f>598563</f>
        <v>598563</v>
      </c>
      <c r="F110" s="134"/>
      <c r="G110" s="123">
        <f t="shared" si="2"/>
        <v>598563</v>
      </c>
    </row>
    <row r="111" spans="1:7" ht="15" customHeight="1" x14ac:dyDescent="0.3">
      <c r="A111" s="215"/>
      <c r="B111" s="200"/>
      <c r="C111" s="200"/>
      <c r="D111" s="14" t="s">
        <v>75</v>
      </c>
      <c r="E111" s="114">
        <v>8300</v>
      </c>
      <c r="F111" s="133"/>
      <c r="G111" s="106">
        <f t="shared" si="2"/>
        <v>8300</v>
      </c>
    </row>
    <row r="112" spans="1:7" x14ac:dyDescent="0.3">
      <c r="A112" s="215"/>
      <c r="B112" s="200"/>
      <c r="C112" s="200"/>
      <c r="D112" s="13" t="s">
        <v>92</v>
      </c>
      <c r="E112" s="111">
        <v>3225676</v>
      </c>
      <c r="F112" s="133"/>
      <c r="G112" s="106">
        <f t="shared" si="2"/>
        <v>3225676</v>
      </c>
    </row>
    <row r="113" spans="1:7" ht="24.6" thickBot="1" x14ac:dyDescent="0.35">
      <c r="A113" s="214"/>
      <c r="B113" s="38" t="s">
        <v>73</v>
      </c>
      <c r="C113" s="39"/>
      <c r="D113" s="40"/>
      <c r="E113" s="110">
        <f>SUBTOTAL(9,E110:E112)</f>
        <v>3832539</v>
      </c>
      <c r="F113" s="128"/>
      <c r="G113" s="121">
        <f t="shared" si="2"/>
        <v>3832539</v>
      </c>
    </row>
    <row r="114" spans="1:7" ht="15" customHeight="1" x14ac:dyDescent="0.3">
      <c r="A114" s="213" t="s">
        <v>64</v>
      </c>
      <c r="B114" s="199" t="s">
        <v>115</v>
      </c>
      <c r="C114" s="199" t="s">
        <v>91</v>
      </c>
      <c r="D114" s="11" t="s">
        <v>72</v>
      </c>
      <c r="E114" s="109">
        <v>808210</v>
      </c>
      <c r="F114" s="138"/>
      <c r="G114" s="123">
        <f t="shared" si="2"/>
        <v>808210</v>
      </c>
    </row>
    <row r="115" spans="1:7" x14ac:dyDescent="0.3">
      <c r="A115" s="215"/>
      <c r="B115" s="200"/>
      <c r="C115" s="200"/>
      <c r="D115" s="14" t="s">
        <v>75</v>
      </c>
      <c r="E115" s="114">
        <v>89700</v>
      </c>
      <c r="F115" s="135"/>
      <c r="G115" s="106">
        <f t="shared" si="2"/>
        <v>89700</v>
      </c>
    </row>
    <row r="116" spans="1:7" x14ac:dyDescent="0.3">
      <c r="A116" s="215"/>
      <c r="B116" s="200"/>
      <c r="C116" s="200"/>
      <c r="D116" s="13" t="s">
        <v>92</v>
      </c>
      <c r="E116" s="111">
        <v>1895977</v>
      </c>
      <c r="F116" s="139"/>
      <c r="G116" s="106">
        <f t="shared" si="2"/>
        <v>1895977</v>
      </c>
    </row>
    <row r="117" spans="1:7" ht="15" customHeight="1" x14ac:dyDescent="0.3">
      <c r="A117" s="215"/>
      <c r="B117" s="201"/>
      <c r="C117" s="201"/>
      <c r="D117" s="15" t="s">
        <v>93</v>
      </c>
      <c r="E117" s="115">
        <v>17993</v>
      </c>
      <c r="F117" s="133"/>
      <c r="G117" s="106">
        <f t="shared" si="2"/>
        <v>17993</v>
      </c>
    </row>
    <row r="118" spans="1:7" ht="24.6" thickBot="1" x14ac:dyDescent="0.35">
      <c r="A118" s="214"/>
      <c r="B118" s="38" t="s">
        <v>73</v>
      </c>
      <c r="C118" s="39"/>
      <c r="D118" s="40"/>
      <c r="E118" s="110">
        <f>SUBTOTAL(9,E114:E117)</f>
        <v>2811880</v>
      </c>
      <c r="F118" s="128"/>
      <c r="G118" s="121">
        <f t="shared" si="2"/>
        <v>2811880</v>
      </c>
    </row>
    <row r="119" spans="1:7" ht="15" customHeight="1" x14ac:dyDescent="0.3">
      <c r="A119" s="213" t="s">
        <v>66</v>
      </c>
      <c r="B119" s="199" t="s">
        <v>117</v>
      </c>
      <c r="C119" s="199" t="s">
        <v>91</v>
      </c>
      <c r="D119" s="11" t="s">
        <v>72</v>
      </c>
      <c r="E119" s="109">
        <v>825741</v>
      </c>
      <c r="F119" s="134"/>
      <c r="G119" s="123">
        <f t="shared" si="2"/>
        <v>825741</v>
      </c>
    </row>
    <row r="120" spans="1:7" x14ac:dyDescent="0.3">
      <c r="A120" s="215"/>
      <c r="B120" s="200"/>
      <c r="C120" s="200"/>
      <c r="D120" s="14" t="s">
        <v>75</v>
      </c>
      <c r="E120" s="114">
        <v>56400</v>
      </c>
      <c r="F120" s="133"/>
      <c r="G120" s="106">
        <f t="shared" si="2"/>
        <v>56400</v>
      </c>
    </row>
    <row r="121" spans="1:7" x14ac:dyDescent="0.3">
      <c r="A121" s="215"/>
      <c r="B121" s="200"/>
      <c r="C121" s="200"/>
      <c r="D121" s="13" t="s">
        <v>92</v>
      </c>
      <c r="E121" s="111">
        <f>1917295</f>
        <v>1917295</v>
      </c>
      <c r="F121" s="133"/>
      <c r="G121" s="106">
        <f t="shared" si="2"/>
        <v>1917295</v>
      </c>
    </row>
    <row r="122" spans="1:7" ht="15" customHeight="1" x14ac:dyDescent="0.3">
      <c r="A122" s="215"/>
      <c r="B122" s="201"/>
      <c r="C122" s="201"/>
      <c r="D122" s="15" t="s">
        <v>93</v>
      </c>
      <c r="E122" s="115">
        <v>17993</v>
      </c>
      <c r="F122" s="133"/>
      <c r="G122" s="106">
        <f t="shared" si="2"/>
        <v>17993</v>
      </c>
    </row>
    <row r="123" spans="1:7" ht="24.6" thickBot="1" x14ac:dyDescent="0.35">
      <c r="A123" s="214"/>
      <c r="B123" s="38" t="s">
        <v>73</v>
      </c>
      <c r="C123" s="39"/>
      <c r="D123" s="40"/>
      <c r="E123" s="110">
        <f>SUBTOTAL(9,E119:E122)</f>
        <v>2817429</v>
      </c>
      <c r="F123" s="128"/>
      <c r="G123" s="121">
        <f t="shared" si="2"/>
        <v>2817429</v>
      </c>
    </row>
    <row r="124" spans="1:7" ht="15" customHeight="1" x14ac:dyDescent="0.3">
      <c r="A124" s="213" t="s">
        <v>116</v>
      </c>
      <c r="B124" s="199" t="s">
        <v>119</v>
      </c>
      <c r="C124" s="199" t="s">
        <v>91</v>
      </c>
      <c r="D124" s="11" t="s">
        <v>72</v>
      </c>
      <c r="E124" s="124">
        <v>941603</v>
      </c>
      <c r="F124" s="151"/>
      <c r="G124" s="123">
        <f t="shared" si="2"/>
        <v>941603</v>
      </c>
    </row>
    <row r="125" spans="1:7" x14ac:dyDescent="0.3">
      <c r="A125" s="215"/>
      <c r="B125" s="200"/>
      <c r="C125" s="200"/>
      <c r="D125" s="14" t="s">
        <v>75</v>
      </c>
      <c r="E125" s="145">
        <v>141200</v>
      </c>
      <c r="F125" s="130"/>
      <c r="G125" s="106">
        <f t="shared" si="2"/>
        <v>141200</v>
      </c>
    </row>
    <row r="126" spans="1:7" x14ac:dyDescent="0.3">
      <c r="A126" s="215"/>
      <c r="B126" s="200"/>
      <c r="C126" s="200"/>
      <c r="D126" s="13" t="s">
        <v>92</v>
      </c>
      <c r="E126" s="125">
        <v>2059636</v>
      </c>
      <c r="F126" s="130"/>
      <c r="G126" s="106">
        <f t="shared" si="2"/>
        <v>2059636</v>
      </c>
    </row>
    <row r="127" spans="1:7" ht="15" customHeight="1" x14ac:dyDescent="0.3">
      <c r="A127" s="215"/>
      <c r="B127" s="201"/>
      <c r="C127" s="201"/>
      <c r="D127" s="15" t="s">
        <v>93</v>
      </c>
      <c r="E127" s="152">
        <v>10702</v>
      </c>
      <c r="F127" s="130"/>
      <c r="G127" s="106">
        <f t="shared" si="2"/>
        <v>10702</v>
      </c>
    </row>
    <row r="128" spans="1:7" ht="24.6" thickBot="1" x14ac:dyDescent="0.35">
      <c r="A128" s="214"/>
      <c r="B128" s="38" t="s">
        <v>73</v>
      </c>
      <c r="C128" s="39"/>
      <c r="D128" s="40"/>
      <c r="E128" s="120">
        <f>SUBTOTAL(9,E124:E127)</f>
        <v>3153141</v>
      </c>
      <c r="F128" s="110">
        <f>SUBTOTAL(9,F124:F127)</f>
        <v>0</v>
      </c>
      <c r="G128" s="121">
        <f t="shared" si="2"/>
        <v>3153141</v>
      </c>
    </row>
    <row r="129" spans="1:7" ht="15" customHeight="1" x14ac:dyDescent="0.3">
      <c r="A129" s="213" t="s">
        <v>118</v>
      </c>
      <c r="B129" s="199" t="s">
        <v>121</v>
      </c>
      <c r="C129" s="199" t="s">
        <v>91</v>
      </c>
      <c r="D129" s="11" t="s">
        <v>72</v>
      </c>
      <c r="E129" s="109">
        <v>546502</v>
      </c>
      <c r="F129" s="134"/>
      <c r="G129" s="123">
        <f t="shared" si="2"/>
        <v>546502</v>
      </c>
    </row>
    <row r="130" spans="1:7" x14ac:dyDescent="0.3">
      <c r="A130" s="215"/>
      <c r="B130" s="200"/>
      <c r="C130" s="200"/>
      <c r="D130" s="13" t="s">
        <v>75</v>
      </c>
      <c r="E130" s="111">
        <v>31100</v>
      </c>
      <c r="F130" s="133"/>
      <c r="G130" s="106">
        <f t="shared" si="2"/>
        <v>31100</v>
      </c>
    </row>
    <row r="131" spans="1:7" x14ac:dyDescent="0.3">
      <c r="A131" s="215"/>
      <c r="B131" s="200"/>
      <c r="C131" s="200"/>
      <c r="D131" s="14" t="s">
        <v>92</v>
      </c>
      <c r="E131" s="114">
        <v>1353297</v>
      </c>
      <c r="F131" s="133"/>
      <c r="G131" s="106">
        <f t="shared" si="2"/>
        <v>1353297</v>
      </c>
    </row>
    <row r="132" spans="1:7" ht="15" customHeight="1" x14ac:dyDescent="0.3">
      <c r="A132" s="215"/>
      <c r="B132" s="201"/>
      <c r="C132" s="201"/>
      <c r="D132" s="16" t="s">
        <v>93</v>
      </c>
      <c r="E132" s="116">
        <v>5645</v>
      </c>
      <c r="F132" s="133"/>
      <c r="G132" s="106">
        <f t="shared" si="2"/>
        <v>5645</v>
      </c>
    </row>
    <row r="133" spans="1:7" ht="24.6" thickBot="1" x14ac:dyDescent="0.35">
      <c r="A133" s="214"/>
      <c r="B133" s="38" t="s">
        <v>73</v>
      </c>
      <c r="C133" s="39"/>
      <c r="D133" s="40"/>
      <c r="E133" s="110">
        <f>SUBTOTAL(9,E129:E132)</f>
        <v>1936544</v>
      </c>
      <c r="F133" s="128"/>
      <c r="G133" s="121">
        <f t="shared" si="2"/>
        <v>1936544</v>
      </c>
    </row>
    <row r="134" spans="1:7" ht="15" customHeight="1" x14ac:dyDescent="0.3">
      <c r="A134" s="213" t="s">
        <v>120</v>
      </c>
      <c r="B134" s="199" t="s">
        <v>123</v>
      </c>
      <c r="C134" s="199" t="s">
        <v>91</v>
      </c>
      <c r="D134" s="11" t="s">
        <v>72</v>
      </c>
      <c r="E134" s="109">
        <f>453854</f>
        <v>453854</v>
      </c>
      <c r="F134" s="134"/>
      <c r="G134" s="123">
        <f t="shared" si="2"/>
        <v>453854</v>
      </c>
    </row>
    <row r="135" spans="1:7" x14ac:dyDescent="0.3">
      <c r="A135" s="215"/>
      <c r="B135" s="200"/>
      <c r="C135" s="200"/>
      <c r="D135" s="14" t="s">
        <v>75</v>
      </c>
      <c r="E135" s="114">
        <v>26500</v>
      </c>
      <c r="F135" s="133"/>
      <c r="G135" s="106">
        <f t="shared" si="2"/>
        <v>26500</v>
      </c>
    </row>
    <row r="136" spans="1:7" x14ac:dyDescent="0.3">
      <c r="A136" s="215"/>
      <c r="B136" s="200"/>
      <c r="C136" s="200"/>
      <c r="D136" s="13" t="s">
        <v>92</v>
      </c>
      <c r="E136" s="111">
        <v>934050</v>
      </c>
      <c r="F136" s="133"/>
      <c r="G136" s="106">
        <f t="shared" si="2"/>
        <v>934050</v>
      </c>
    </row>
    <row r="137" spans="1:7" ht="15" customHeight="1" x14ac:dyDescent="0.3">
      <c r="A137" s="215"/>
      <c r="B137" s="201"/>
      <c r="C137" s="201"/>
      <c r="D137" s="15" t="s">
        <v>93</v>
      </c>
      <c r="E137" s="115">
        <v>2940</v>
      </c>
      <c r="F137" s="133"/>
      <c r="G137" s="106">
        <f t="shared" si="2"/>
        <v>2940</v>
      </c>
    </row>
    <row r="138" spans="1:7" ht="24.6" thickBot="1" x14ac:dyDescent="0.35">
      <c r="A138" s="214"/>
      <c r="B138" s="38" t="s">
        <v>73</v>
      </c>
      <c r="C138" s="39"/>
      <c r="D138" s="40"/>
      <c r="E138" s="110">
        <f>SUBTOTAL(9,E134:E137)</f>
        <v>1417344</v>
      </c>
      <c r="F138" s="128"/>
      <c r="G138" s="121">
        <f t="shared" si="2"/>
        <v>1417344</v>
      </c>
    </row>
    <row r="139" spans="1:7" ht="15" customHeight="1" x14ac:dyDescent="0.3">
      <c r="A139" s="213" t="s">
        <v>122</v>
      </c>
      <c r="B139" s="199" t="s">
        <v>125</v>
      </c>
      <c r="C139" s="199" t="s">
        <v>91</v>
      </c>
      <c r="D139" s="11" t="s">
        <v>72</v>
      </c>
      <c r="E139" s="109">
        <f>435372</f>
        <v>435372</v>
      </c>
      <c r="F139" s="134"/>
      <c r="G139" s="123">
        <f t="shared" si="2"/>
        <v>435372</v>
      </c>
    </row>
    <row r="140" spans="1:7" x14ac:dyDescent="0.3">
      <c r="A140" s="215"/>
      <c r="B140" s="200"/>
      <c r="C140" s="200"/>
      <c r="D140" s="14" t="s">
        <v>75</v>
      </c>
      <c r="E140" s="114">
        <v>25200</v>
      </c>
      <c r="F140" s="133"/>
      <c r="G140" s="106">
        <f t="shared" si="2"/>
        <v>25200</v>
      </c>
    </row>
    <row r="141" spans="1:7" x14ac:dyDescent="0.3">
      <c r="A141" s="215"/>
      <c r="B141" s="200"/>
      <c r="C141" s="200"/>
      <c r="D141" s="13" t="s">
        <v>92</v>
      </c>
      <c r="E141" s="111">
        <v>986380</v>
      </c>
      <c r="F141" s="133"/>
      <c r="G141" s="106">
        <f t="shared" si="2"/>
        <v>986380</v>
      </c>
    </row>
    <row r="142" spans="1:7" ht="15" customHeight="1" x14ac:dyDescent="0.3">
      <c r="A142" s="215"/>
      <c r="B142" s="201"/>
      <c r="C142" s="201"/>
      <c r="D142" s="15" t="s">
        <v>93</v>
      </c>
      <c r="E142" s="115">
        <v>7232</v>
      </c>
      <c r="F142" s="133"/>
      <c r="G142" s="106">
        <f t="shared" si="2"/>
        <v>7232</v>
      </c>
    </row>
    <row r="143" spans="1:7" ht="24.6" thickBot="1" x14ac:dyDescent="0.35">
      <c r="A143" s="214"/>
      <c r="B143" s="38" t="s">
        <v>73</v>
      </c>
      <c r="C143" s="39"/>
      <c r="D143" s="40"/>
      <c r="E143" s="110">
        <f>SUBTOTAL(9,E139:E142)</f>
        <v>1454184</v>
      </c>
      <c r="F143" s="128"/>
      <c r="G143" s="121">
        <f t="shared" ref="G143:G207" si="3">E143+F143</f>
        <v>1454184</v>
      </c>
    </row>
    <row r="144" spans="1:7" ht="15" customHeight="1" x14ac:dyDescent="0.3">
      <c r="A144" s="213" t="s">
        <v>124</v>
      </c>
      <c r="B144" s="199" t="s">
        <v>127</v>
      </c>
      <c r="C144" s="199" t="s">
        <v>91</v>
      </c>
      <c r="D144" s="11" t="s">
        <v>72</v>
      </c>
      <c r="E144" s="109">
        <f>357673</f>
        <v>357673</v>
      </c>
      <c r="F144" s="134"/>
      <c r="G144" s="123">
        <f t="shared" si="3"/>
        <v>357673</v>
      </c>
    </row>
    <row r="145" spans="1:7" x14ac:dyDescent="0.3">
      <c r="A145" s="215"/>
      <c r="B145" s="200"/>
      <c r="C145" s="200"/>
      <c r="D145" s="14" t="s">
        <v>75</v>
      </c>
      <c r="E145" s="114">
        <v>18300</v>
      </c>
      <c r="F145" s="133"/>
      <c r="G145" s="106">
        <f t="shared" si="3"/>
        <v>18300</v>
      </c>
    </row>
    <row r="146" spans="1:7" x14ac:dyDescent="0.3">
      <c r="A146" s="215"/>
      <c r="B146" s="200"/>
      <c r="C146" s="200"/>
      <c r="D146" s="13" t="s">
        <v>92</v>
      </c>
      <c r="E146" s="111">
        <v>651215</v>
      </c>
      <c r="F146" s="133"/>
      <c r="G146" s="106">
        <f t="shared" si="3"/>
        <v>651215</v>
      </c>
    </row>
    <row r="147" spans="1:7" ht="15" customHeight="1" x14ac:dyDescent="0.3">
      <c r="A147" s="215"/>
      <c r="B147" s="201"/>
      <c r="C147" s="201"/>
      <c r="D147" s="15" t="s">
        <v>93</v>
      </c>
      <c r="E147" s="115">
        <v>10525</v>
      </c>
      <c r="F147" s="133"/>
      <c r="G147" s="106">
        <f t="shared" si="3"/>
        <v>10525</v>
      </c>
    </row>
    <row r="148" spans="1:7" ht="24.6" thickBot="1" x14ac:dyDescent="0.35">
      <c r="A148" s="214"/>
      <c r="B148" s="38" t="s">
        <v>73</v>
      </c>
      <c r="C148" s="39"/>
      <c r="D148" s="40"/>
      <c r="E148" s="110">
        <f>SUBTOTAL(9,E144:E147)</f>
        <v>1037713</v>
      </c>
      <c r="F148" s="133"/>
      <c r="G148" s="105">
        <f t="shared" si="3"/>
        <v>1037713</v>
      </c>
    </row>
    <row r="149" spans="1:7" ht="15" customHeight="1" x14ac:dyDescent="0.3">
      <c r="A149" s="213" t="s">
        <v>126</v>
      </c>
      <c r="B149" s="199" t="s">
        <v>129</v>
      </c>
      <c r="C149" s="199" t="s">
        <v>91</v>
      </c>
      <c r="D149" s="11" t="s">
        <v>72</v>
      </c>
      <c r="E149" s="109">
        <f>247288</f>
        <v>247288</v>
      </c>
      <c r="F149" s="133"/>
      <c r="G149" s="106">
        <f t="shared" si="3"/>
        <v>247288</v>
      </c>
    </row>
    <row r="150" spans="1:7" x14ac:dyDescent="0.3">
      <c r="A150" s="215"/>
      <c r="B150" s="200"/>
      <c r="C150" s="200"/>
      <c r="D150" s="14" t="s">
        <v>75</v>
      </c>
      <c r="E150" s="114">
        <v>41300</v>
      </c>
      <c r="F150" s="133"/>
      <c r="G150" s="106">
        <f t="shared" si="3"/>
        <v>41300</v>
      </c>
    </row>
    <row r="151" spans="1:7" x14ac:dyDescent="0.3">
      <c r="A151" s="215"/>
      <c r="B151" s="200"/>
      <c r="C151" s="200"/>
      <c r="D151" s="13" t="s">
        <v>92</v>
      </c>
      <c r="E151" s="111">
        <f>497106</f>
        <v>497106</v>
      </c>
      <c r="F151" s="133"/>
      <c r="G151" s="106">
        <f t="shared" si="3"/>
        <v>497106</v>
      </c>
    </row>
    <row r="152" spans="1:7" ht="15" customHeight="1" x14ac:dyDescent="0.3">
      <c r="A152" s="215"/>
      <c r="B152" s="201"/>
      <c r="C152" s="201"/>
      <c r="D152" s="15" t="s">
        <v>93</v>
      </c>
      <c r="E152" s="115">
        <v>3528</v>
      </c>
      <c r="F152" s="133"/>
      <c r="G152" s="106">
        <f t="shared" si="3"/>
        <v>3528</v>
      </c>
    </row>
    <row r="153" spans="1:7" ht="24.6" thickBot="1" x14ac:dyDescent="0.35">
      <c r="A153" s="214"/>
      <c r="B153" s="38" t="s">
        <v>73</v>
      </c>
      <c r="C153" s="39"/>
      <c r="D153" s="40"/>
      <c r="E153" s="110">
        <f>SUBTOTAL(9,E149:E152)</f>
        <v>789222</v>
      </c>
      <c r="F153" s="128"/>
      <c r="G153" s="121">
        <f t="shared" si="3"/>
        <v>789222</v>
      </c>
    </row>
    <row r="154" spans="1:7" ht="15" customHeight="1" x14ac:dyDescent="0.3">
      <c r="A154" s="213" t="s">
        <v>128</v>
      </c>
      <c r="B154" s="199" t="s">
        <v>131</v>
      </c>
      <c r="C154" s="199" t="s">
        <v>91</v>
      </c>
      <c r="D154" s="11" t="s">
        <v>72</v>
      </c>
      <c r="E154" s="109">
        <f>835083</f>
        <v>835083</v>
      </c>
      <c r="F154" s="134"/>
      <c r="G154" s="123">
        <f t="shared" si="3"/>
        <v>835083</v>
      </c>
    </row>
    <row r="155" spans="1:7" x14ac:dyDescent="0.3">
      <c r="A155" s="215"/>
      <c r="B155" s="200"/>
      <c r="C155" s="200"/>
      <c r="D155" s="14" t="s">
        <v>75</v>
      </c>
      <c r="E155" s="114">
        <v>108400</v>
      </c>
      <c r="F155" s="135"/>
      <c r="G155" s="106">
        <f t="shared" si="3"/>
        <v>108400</v>
      </c>
    </row>
    <row r="156" spans="1:7" x14ac:dyDescent="0.3">
      <c r="A156" s="215"/>
      <c r="B156" s="200"/>
      <c r="C156" s="200"/>
      <c r="D156" s="13" t="s">
        <v>92</v>
      </c>
      <c r="E156" s="111">
        <f>1675312</f>
        <v>1675312</v>
      </c>
      <c r="F156" s="135"/>
      <c r="G156" s="106">
        <f t="shared" si="3"/>
        <v>1675312</v>
      </c>
    </row>
    <row r="157" spans="1:7" x14ac:dyDescent="0.3">
      <c r="A157" s="215"/>
      <c r="B157" s="201"/>
      <c r="C157" s="201"/>
      <c r="D157" s="15" t="s">
        <v>93</v>
      </c>
      <c r="E157" s="115">
        <v>43689</v>
      </c>
      <c r="F157" s="139"/>
      <c r="G157" s="106">
        <f t="shared" si="3"/>
        <v>43689</v>
      </c>
    </row>
    <row r="158" spans="1:7" ht="15" customHeight="1" thickBot="1" x14ac:dyDescent="0.35">
      <c r="A158" s="214"/>
      <c r="B158" s="38" t="s">
        <v>73</v>
      </c>
      <c r="C158" s="39"/>
      <c r="D158" s="40"/>
      <c r="E158" s="110">
        <f>SUBTOTAL(9,E154:E157)</f>
        <v>2662484</v>
      </c>
      <c r="F158" s="128"/>
      <c r="G158" s="121">
        <f t="shared" si="3"/>
        <v>2662484</v>
      </c>
    </row>
    <row r="159" spans="1:7" ht="15" customHeight="1" x14ac:dyDescent="0.3">
      <c r="A159" s="213" t="s">
        <v>130</v>
      </c>
      <c r="B159" s="199" t="s">
        <v>133</v>
      </c>
      <c r="C159" s="199" t="s">
        <v>91</v>
      </c>
      <c r="D159" s="11" t="s">
        <v>72</v>
      </c>
      <c r="E159" s="109">
        <f>578045</f>
        <v>578045</v>
      </c>
      <c r="F159" s="134"/>
      <c r="G159" s="123">
        <f t="shared" si="3"/>
        <v>578045</v>
      </c>
    </row>
    <row r="160" spans="1:7" x14ac:dyDescent="0.3">
      <c r="A160" s="215"/>
      <c r="B160" s="200"/>
      <c r="C160" s="200"/>
      <c r="D160" s="13" t="s">
        <v>75</v>
      </c>
      <c r="E160" s="111">
        <v>101600</v>
      </c>
      <c r="F160" s="133"/>
      <c r="G160" s="106">
        <f t="shared" si="3"/>
        <v>101600</v>
      </c>
    </row>
    <row r="161" spans="1:7" x14ac:dyDescent="0.3">
      <c r="A161" s="215"/>
      <c r="B161" s="200"/>
      <c r="C161" s="200"/>
      <c r="D161" s="14" t="s">
        <v>92</v>
      </c>
      <c r="E161" s="114">
        <f>655284</f>
        <v>655284</v>
      </c>
      <c r="F161" s="133"/>
      <c r="G161" s="106">
        <f t="shared" si="3"/>
        <v>655284</v>
      </c>
    </row>
    <row r="162" spans="1:7" x14ac:dyDescent="0.3">
      <c r="A162" s="215"/>
      <c r="B162" s="201"/>
      <c r="C162" s="201"/>
      <c r="D162" s="16" t="s">
        <v>93</v>
      </c>
      <c r="E162" s="116">
        <v>26049</v>
      </c>
      <c r="F162" s="133"/>
      <c r="G162" s="106">
        <f t="shared" si="3"/>
        <v>26049</v>
      </c>
    </row>
    <row r="163" spans="1:7" ht="15" customHeight="1" thickBot="1" x14ac:dyDescent="0.35">
      <c r="A163" s="214"/>
      <c r="B163" s="38" t="s">
        <v>73</v>
      </c>
      <c r="C163" s="39"/>
      <c r="D163" s="40"/>
      <c r="E163" s="110">
        <f>SUBTOTAL(9,E159:E162)</f>
        <v>1360978</v>
      </c>
      <c r="F163" s="128"/>
      <c r="G163" s="122">
        <f t="shared" si="3"/>
        <v>1360978</v>
      </c>
    </row>
    <row r="164" spans="1:7" ht="15" customHeight="1" x14ac:dyDescent="0.3">
      <c r="A164" s="213" t="s">
        <v>132</v>
      </c>
      <c r="B164" s="199" t="s">
        <v>135</v>
      </c>
      <c r="C164" s="199" t="s">
        <v>91</v>
      </c>
      <c r="D164" s="11" t="s">
        <v>72</v>
      </c>
      <c r="E164" s="109">
        <f>652120</f>
        <v>652120</v>
      </c>
      <c r="F164" s="134"/>
      <c r="G164" s="123">
        <f t="shared" si="3"/>
        <v>652120</v>
      </c>
    </row>
    <row r="165" spans="1:7" x14ac:dyDescent="0.3">
      <c r="A165" s="215"/>
      <c r="B165" s="200"/>
      <c r="C165" s="200"/>
      <c r="D165" s="13" t="s">
        <v>75</v>
      </c>
      <c r="E165" s="111">
        <v>123500</v>
      </c>
      <c r="F165" s="133"/>
      <c r="G165" s="106">
        <f t="shared" si="3"/>
        <v>123500</v>
      </c>
    </row>
    <row r="166" spans="1:7" x14ac:dyDescent="0.3">
      <c r="A166" s="215"/>
      <c r="B166" s="200"/>
      <c r="C166" s="200"/>
      <c r="D166" s="13" t="s">
        <v>92</v>
      </c>
      <c r="E166" s="111">
        <f>815151</f>
        <v>815151</v>
      </c>
      <c r="F166" s="133"/>
      <c r="G166" s="106">
        <f t="shared" si="3"/>
        <v>815151</v>
      </c>
    </row>
    <row r="167" spans="1:7" x14ac:dyDescent="0.3">
      <c r="A167" s="215"/>
      <c r="B167" s="201"/>
      <c r="C167" s="201"/>
      <c r="D167" s="15" t="s">
        <v>93</v>
      </c>
      <c r="E167" s="115">
        <v>35868</v>
      </c>
      <c r="F167" s="133"/>
      <c r="G167" s="106">
        <f t="shared" si="3"/>
        <v>35868</v>
      </c>
    </row>
    <row r="168" spans="1:7" ht="24.75" customHeight="1" thickBot="1" x14ac:dyDescent="0.35">
      <c r="A168" s="214"/>
      <c r="B168" s="38" t="s">
        <v>73</v>
      </c>
      <c r="C168" s="39"/>
      <c r="D168" s="40"/>
      <c r="E168" s="110">
        <f>SUBTOTAL(9,E164:E167)</f>
        <v>1626639</v>
      </c>
      <c r="F168" s="128"/>
      <c r="G168" s="121">
        <f t="shared" si="3"/>
        <v>1626639</v>
      </c>
    </row>
    <row r="169" spans="1:7" ht="15" customHeight="1" x14ac:dyDescent="0.3">
      <c r="A169" s="213" t="s">
        <v>134</v>
      </c>
      <c r="B169" s="199" t="s">
        <v>137</v>
      </c>
      <c r="C169" s="199" t="s">
        <v>91</v>
      </c>
      <c r="D169" s="11" t="s">
        <v>72</v>
      </c>
      <c r="E169" s="109">
        <f>654908</f>
        <v>654908</v>
      </c>
      <c r="F169" s="134"/>
      <c r="G169" s="123">
        <f t="shared" si="3"/>
        <v>654908</v>
      </c>
    </row>
    <row r="170" spans="1:7" x14ac:dyDescent="0.3">
      <c r="A170" s="215"/>
      <c r="B170" s="200"/>
      <c r="C170" s="200"/>
      <c r="D170" s="13" t="s">
        <v>75</v>
      </c>
      <c r="E170" s="114">
        <v>138700</v>
      </c>
      <c r="F170" s="133"/>
      <c r="G170" s="106">
        <f t="shared" si="3"/>
        <v>138700</v>
      </c>
    </row>
    <row r="171" spans="1:7" x14ac:dyDescent="0.3">
      <c r="A171" s="215"/>
      <c r="B171" s="200"/>
      <c r="C171" s="200"/>
      <c r="D171" s="13" t="s">
        <v>92</v>
      </c>
      <c r="E171" s="111">
        <f>773653</f>
        <v>773653</v>
      </c>
      <c r="F171" s="133"/>
      <c r="G171" s="106">
        <f t="shared" si="3"/>
        <v>773653</v>
      </c>
    </row>
    <row r="172" spans="1:7" x14ac:dyDescent="0.3">
      <c r="A172" s="215"/>
      <c r="B172" s="201"/>
      <c r="C172" s="201"/>
      <c r="D172" s="15" t="s">
        <v>93</v>
      </c>
      <c r="E172" s="115">
        <v>30047</v>
      </c>
      <c r="F172" s="133"/>
      <c r="G172" s="106">
        <f t="shared" si="3"/>
        <v>30047</v>
      </c>
    </row>
    <row r="173" spans="1:7" ht="23.25" customHeight="1" thickBot="1" x14ac:dyDescent="0.35">
      <c r="A173" s="214"/>
      <c r="B173" s="38" t="s">
        <v>73</v>
      </c>
      <c r="C173" s="39"/>
      <c r="D173" s="40"/>
      <c r="E173" s="110">
        <f>SUBTOTAL(9,E169:E172)</f>
        <v>1597308</v>
      </c>
      <c r="F173" s="128"/>
      <c r="G173" s="121">
        <f t="shared" si="3"/>
        <v>1597308</v>
      </c>
    </row>
    <row r="174" spans="1:7" ht="15" customHeight="1" x14ac:dyDescent="0.3">
      <c r="A174" s="213" t="s">
        <v>136</v>
      </c>
      <c r="B174" s="199" t="s">
        <v>139</v>
      </c>
      <c r="C174" s="199" t="s">
        <v>91</v>
      </c>
      <c r="D174" s="11" t="s">
        <v>72</v>
      </c>
      <c r="E174" s="109">
        <f>417346</f>
        <v>417346</v>
      </c>
      <c r="F174" s="134"/>
      <c r="G174" s="123">
        <f t="shared" si="3"/>
        <v>417346</v>
      </c>
    </row>
    <row r="175" spans="1:7" x14ac:dyDescent="0.3">
      <c r="A175" s="215"/>
      <c r="B175" s="200"/>
      <c r="C175" s="200"/>
      <c r="D175" s="13" t="s">
        <v>75</v>
      </c>
      <c r="E175" s="114">
        <v>77200</v>
      </c>
      <c r="F175" s="133"/>
      <c r="G175" s="106">
        <f t="shared" si="3"/>
        <v>77200</v>
      </c>
    </row>
    <row r="176" spans="1:7" x14ac:dyDescent="0.3">
      <c r="A176" s="215"/>
      <c r="B176" s="200"/>
      <c r="C176" s="200"/>
      <c r="D176" s="13" t="s">
        <v>92</v>
      </c>
      <c r="E176" s="111">
        <f>727072</f>
        <v>727072</v>
      </c>
      <c r="F176" s="133"/>
      <c r="G176" s="106">
        <f t="shared" si="3"/>
        <v>727072</v>
      </c>
    </row>
    <row r="177" spans="1:7" x14ac:dyDescent="0.3">
      <c r="A177" s="215"/>
      <c r="B177" s="201"/>
      <c r="C177" s="201"/>
      <c r="D177" s="15" t="s">
        <v>93</v>
      </c>
      <c r="E177" s="115">
        <v>11290</v>
      </c>
      <c r="F177" s="133"/>
      <c r="G177" s="106">
        <f t="shared" si="3"/>
        <v>11290</v>
      </c>
    </row>
    <row r="178" spans="1:7" ht="24.75" customHeight="1" thickBot="1" x14ac:dyDescent="0.35">
      <c r="A178" s="214"/>
      <c r="B178" s="38" t="s">
        <v>73</v>
      </c>
      <c r="C178" s="39"/>
      <c r="D178" s="40"/>
      <c r="E178" s="110">
        <f>SUBTOTAL(9,E174:E177)</f>
        <v>1232908</v>
      </c>
      <c r="F178" s="128"/>
      <c r="G178" s="121">
        <f t="shared" si="3"/>
        <v>1232908</v>
      </c>
    </row>
    <row r="179" spans="1:7" ht="15" customHeight="1" x14ac:dyDescent="0.3">
      <c r="A179" s="213" t="s">
        <v>138</v>
      </c>
      <c r="B179" s="199" t="s">
        <v>141</v>
      </c>
      <c r="C179" s="199" t="s">
        <v>91</v>
      </c>
      <c r="D179" s="11" t="s">
        <v>72</v>
      </c>
      <c r="E179" s="124">
        <v>780892</v>
      </c>
      <c r="F179" s="151"/>
      <c r="G179" s="123">
        <f t="shared" si="3"/>
        <v>780892</v>
      </c>
    </row>
    <row r="180" spans="1:7" x14ac:dyDescent="0.3">
      <c r="A180" s="215"/>
      <c r="B180" s="200"/>
      <c r="C180" s="200"/>
      <c r="D180" s="13" t="s">
        <v>75</v>
      </c>
      <c r="E180" s="125">
        <v>43600</v>
      </c>
      <c r="F180" s="130"/>
      <c r="G180" s="106">
        <f t="shared" si="3"/>
        <v>43600</v>
      </c>
    </row>
    <row r="181" spans="1:7" x14ac:dyDescent="0.3">
      <c r="A181" s="215"/>
      <c r="B181" s="200"/>
      <c r="C181" s="200"/>
      <c r="D181" s="13" t="s">
        <v>92</v>
      </c>
      <c r="E181" s="145">
        <f>281174</f>
        <v>281174</v>
      </c>
      <c r="F181" s="131"/>
      <c r="G181" s="106">
        <f t="shared" si="3"/>
        <v>281174</v>
      </c>
    </row>
    <row r="182" spans="1:7" x14ac:dyDescent="0.3">
      <c r="A182" s="215"/>
      <c r="B182" s="201"/>
      <c r="C182" s="201"/>
      <c r="D182" s="15" t="s">
        <v>93</v>
      </c>
      <c r="E182" s="146">
        <v>145285</v>
      </c>
      <c r="F182" s="114"/>
      <c r="G182" s="106">
        <f t="shared" si="3"/>
        <v>145285</v>
      </c>
    </row>
    <row r="183" spans="1:7" ht="25.5" customHeight="1" thickBot="1" x14ac:dyDescent="0.35">
      <c r="A183" s="214"/>
      <c r="B183" s="38" t="s">
        <v>73</v>
      </c>
      <c r="C183" s="39"/>
      <c r="D183" s="40"/>
      <c r="E183" s="120">
        <f>SUBTOTAL(9,E179:E182)</f>
        <v>1250951</v>
      </c>
      <c r="F183" s="110">
        <f>SUBTOTAL(9,F179:F182)</f>
        <v>0</v>
      </c>
      <c r="G183" s="121">
        <f t="shared" si="3"/>
        <v>1250951</v>
      </c>
    </row>
    <row r="184" spans="1:7" ht="15" customHeight="1" x14ac:dyDescent="0.3">
      <c r="A184" s="213" t="s">
        <v>140</v>
      </c>
      <c r="B184" s="199" t="s">
        <v>143</v>
      </c>
      <c r="C184" s="199" t="s">
        <v>91</v>
      </c>
      <c r="D184" s="11" t="s">
        <v>72</v>
      </c>
      <c r="E184" s="124">
        <f>728233</f>
        <v>728233</v>
      </c>
      <c r="F184" s="144"/>
      <c r="G184" s="123">
        <f t="shared" si="3"/>
        <v>728233</v>
      </c>
    </row>
    <row r="185" spans="1:7" x14ac:dyDescent="0.3">
      <c r="A185" s="215"/>
      <c r="B185" s="200"/>
      <c r="C185" s="200"/>
      <c r="D185" s="13" t="s">
        <v>75</v>
      </c>
      <c r="E185" s="125">
        <v>71000</v>
      </c>
      <c r="F185" s="131">
        <v>-11300</v>
      </c>
      <c r="G185" s="106">
        <f t="shared" si="3"/>
        <v>59700</v>
      </c>
    </row>
    <row r="186" spans="1:7" x14ac:dyDescent="0.3">
      <c r="A186" s="215"/>
      <c r="B186" s="200"/>
      <c r="C186" s="200"/>
      <c r="D186" s="13" t="s">
        <v>92</v>
      </c>
      <c r="E186" s="145">
        <f>72608</f>
        <v>72608</v>
      </c>
      <c r="F186" s="130"/>
      <c r="G186" s="106">
        <f t="shared" si="3"/>
        <v>72608</v>
      </c>
    </row>
    <row r="187" spans="1:7" x14ac:dyDescent="0.3">
      <c r="A187" s="215"/>
      <c r="B187" s="201"/>
      <c r="C187" s="201"/>
      <c r="D187" s="15" t="s">
        <v>93</v>
      </c>
      <c r="E187" s="146">
        <v>84026</v>
      </c>
      <c r="F187" s="130"/>
      <c r="G187" s="106">
        <f t="shared" si="3"/>
        <v>84026</v>
      </c>
    </row>
    <row r="188" spans="1:7" ht="23.25" customHeight="1" thickBot="1" x14ac:dyDescent="0.35">
      <c r="A188" s="214"/>
      <c r="B188" s="38" t="s">
        <v>73</v>
      </c>
      <c r="C188" s="39"/>
      <c r="D188" s="40"/>
      <c r="E188" s="120">
        <f>SUBTOTAL(9,E184:E187)</f>
        <v>955867</v>
      </c>
      <c r="F188" s="110">
        <f>SUBTOTAL(9,F184:F187)</f>
        <v>-11300</v>
      </c>
      <c r="G188" s="121">
        <f t="shared" si="3"/>
        <v>944567</v>
      </c>
    </row>
    <row r="189" spans="1:7" ht="15" customHeight="1" x14ac:dyDescent="0.3">
      <c r="A189" s="213" t="s">
        <v>197</v>
      </c>
      <c r="B189" s="199" t="s">
        <v>145</v>
      </c>
      <c r="C189" s="199" t="s">
        <v>91</v>
      </c>
      <c r="D189" s="11" t="s">
        <v>72</v>
      </c>
      <c r="E189" s="109">
        <f>1318491</f>
        <v>1318491</v>
      </c>
      <c r="F189" s="134"/>
      <c r="G189" s="123">
        <f t="shared" si="3"/>
        <v>1318491</v>
      </c>
    </row>
    <row r="190" spans="1:7" x14ac:dyDescent="0.3">
      <c r="A190" s="215"/>
      <c r="B190" s="200"/>
      <c r="C190" s="200"/>
      <c r="D190" s="13" t="s">
        <v>75</v>
      </c>
      <c r="E190" s="111">
        <v>175100</v>
      </c>
      <c r="F190" s="133"/>
      <c r="G190" s="106">
        <f t="shared" si="3"/>
        <v>175100</v>
      </c>
    </row>
    <row r="191" spans="1:7" x14ac:dyDescent="0.3">
      <c r="A191" s="215"/>
      <c r="B191" s="200"/>
      <c r="C191" s="200"/>
      <c r="D191" s="13" t="s">
        <v>92</v>
      </c>
      <c r="E191" s="111">
        <f>48032</f>
        <v>48032</v>
      </c>
      <c r="F191" s="133"/>
      <c r="G191" s="106">
        <f t="shared" si="3"/>
        <v>48032</v>
      </c>
    </row>
    <row r="192" spans="1:7" x14ac:dyDescent="0.3">
      <c r="A192" s="215"/>
      <c r="B192" s="201"/>
      <c r="C192" s="201"/>
      <c r="D192" s="15" t="s">
        <v>93</v>
      </c>
      <c r="E192" s="115">
        <v>228852</v>
      </c>
      <c r="F192" s="133"/>
      <c r="G192" s="106">
        <f t="shared" si="3"/>
        <v>228852</v>
      </c>
    </row>
    <row r="193" spans="1:7" ht="21" customHeight="1" thickBot="1" x14ac:dyDescent="0.35">
      <c r="A193" s="214"/>
      <c r="B193" s="38" t="s">
        <v>73</v>
      </c>
      <c r="C193" s="39"/>
      <c r="D193" s="40"/>
      <c r="E193" s="110">
        <f>SUBTOTAL(9,E189:E192)</f>
        <v>1770475</v>
      </c>
      <c r="F193" s="128"/>
      <c r="G193" s="121">
        <f t="shared" si="3"/>
        <v>1770475</v>
      </c>
    </row>
    <row r="194" spans="1:7" ht="15" customHeight="1" x14ac:dyDescent="0.3">
      <c r="A194" s="213" t="s">
        <v>142</v>
      </c>
      <c r="B194" s="199" t="s">
        <v>147</v>
      </c>
      <c r="C194" s="199" t="s">
        <v>91</v>
      </c>
      <c r="D194" s="11" t="s">
        <v>72</v>
      </c>
      <c r="E194" s="109">
        <f>458756</f>
        <v>458756</v>
      </c>
      <c r="F194" s="134"/>
      <c r="G194" s="123">
        <f t="shared" si="3"/>
        <v>458756</v>
      </c>
    </row>
    <row r="195" spans="1:7" x14ac:dyDescent="0.3">
      <c r="A195" s="215"/>
      <c r="B195" s="200"/>
      <c r="C195" s="200"/>
      <c r="D195" s="13" t="s">
        <v>75</v>
      </c>
      <c r="E195" s="111">
        <v>50400</v>
      </c>
      <c r="F195" s="133"/>
      <c r="G195" s="106">
        <f t="shared" si="3"/>
        <v>50400</v>
      </c>
    </row>
    <row r="196" spans="1:7" x14ac:dyDescent="0.3">
      <c r="A196" s="215"/>
      <c r="B196" s="200"/>
      <c r="C196" s="200"/>
      <c r="D196" s="13" t="s">
        <v>92</v>
      </c>
      <c r="E196" s="114">
        <f>20868</f>
        <v>20868</v>
      </c>
      <c r="F196" s="133"/>
      <c r="G196" s="106">
        <f t="shared" si="3"/>
        <v>20868</v>
      </c>
    </row>
    <row r="197" spans="1:7" x14ac:dyDescent="0.3">
      <c r="A197" s="215"/>
      <c r="B197" s="201"/>
      <c r="C197" s="201"/>
      <c r="D197" s="15" t="s">
        <v>93</v>
      </c>
      <c r="E197" s="116">
        <v>65621</v>
      </c>
      <c r="F197" s="133"/>
      <c r="G197" s="106">
        <f t="shared" si="3"/>
        <v>65621</v>
      </c>
    </row>
    <row r="198" spans="1:7" ht="24" customHeight="1" thickBot="1" x14ac:dyDescent="0.35">
      <c r="A198" s="215"/>
      <c r="B198" s="41" t="s">
        <v>73</v>
      </c>
      <c r="C198" s="42"/>
      <c r="D198" s="43"/>
      <c r="E198" s="117">
        <f>SUBTOTAL(9,E194:E197)</f>
        <v>595645</v>
      </c>
      <c r="F198" s="141"/>
      <c r="G198" s="121">
        <f t="shared" si="3"/>
        <v>595645</v>
      </c>
    </row>
    <row r="199" spans="1:7" ht="15" customHeight="1" x14ac:dyDescent="0.3">
      <c r="A199" s="213" t="s">
        <v>144</v>
      </c>
      <c r="B199" s="199" t="s">
        <v>149</v>
      </c>
      <c r="C199" s="199" t="s">
        <v>95</v>
      </c>
      <c r="D199" s="89" t="s">
        <v>72</v>
      </c>
      <c r="E199" s="109">
        <v>1244074</v>
      </c>
      <c r="F199" s="132"/>
      <c r="G199" s="123">
        <f t="shared" si="3"/>
        <v>1244074</v>
      </c>
    </row>
    <row r="200" spans="1:7" x14ac:dyDescent="0.3">
      <c r="A200" s="215"/>
      <c r="B200" s="200"/>
      <c r="C200" s="200"/>
      <c r="D200" s="13" t="s">
        <v>75</v>
      </c>
      <c r="E200" s="111">
        <v>73000</v>
      </c>
      <c r="F200" s="133"/>
      <c r="G200" s="106">
        <f t="shared" si="3"/>
        <v>73000</v>
      </c>
    </row>
    <row r="201" spans="1:7" x14ac:dyDescent="0.3">
      <c r="A201" s="215"/>
      <c r="B201" s="201"/>
      <c r="C201" s="201"/>
      <c r="D201" s="13" t="s">
        <v>93</v>
      </c>
      <c r="E201" s="111">
        <v>32885</v>
      </c>
      <c r="F201" s="140"/>
      <c r="G201" s="106">
        <f t="shared" si="3"/>
        <v>32885</v>
      </c>
    </row>
    <row r="202" spans="1:7" ht="21.75" customHeight="1" thickBot="1" x14ac:dyDescent="0.35">
      <c r="A202" s="214"/>
      <c r="B202" s="38" t="s">
        <v>73</v>
      </c>
      <c r="C202" s="39"/>
      <c r="D202" s="40"/>
      <c r="E202" s="110">
        <f>SUBTOTAL(9,E199:E201)</f>
        <v>1349959</v>
      </c>
      <c r="F202" s="128"/>
      <c r="G202" s="121">
        <f t="shared" si="3"/>
        <v>1349959</v>
      </c>
    </row>
    <row r="203" spans="1:7" ht="15" customHeight="1" x14ac:dyDescent="0.3">
      <c r="A203" s="215" t="s">
        <v>146</v>
      </c>
      <c r="B203" s="199" t="s">
        <v>150</v>
      </c>
      <c r="C203" s="199" t="s">
        <v>95</v>
      </c>
      <c r="D203" s="88" t="s">
        <v>72</v>
      </c>
      <c r="E203" s="113">
        <f>2445195</f>
        <v>2445195</v>
      </c>
      <c r="F203" s="134"/>
      <c r="G203" s="123">
        <f t="shared" si="3"/>
        <v>2445195</v>
      </c>
    </row>
    <row r="204" spans="1:7" x14ac:dyDescent="0.3">
      <c r="A204" s="215"/>
      <c r="B204" s="200"/>
      <c r="C204" s="200"/>
      <c r="D204" s="13" t="s">
        <v>75</v>
      </c>
      <c r="E204" s="111">
        <v>183800</v>
      </c>
      <c r="F204" s="133"/>
      <c r="G204" s="106">
        <f t="shared" si="3"/>
        <v>183800</v>
      </c>
    </row>
    <row r="205" spans="1:7" x14ac:dyDescent="0.3">
      <c r="A205" s="215"/>
      <c r="B205" s="200"/>
      <c r="C205" s="200"/>
      <c r="D205" s="13" t="s">
        <v>76</v>
      </c>
      <c r="E205" s="111">
        <v>506600</v>
      </c>
      <c r="F205" s="133"/>
      <c r="G205" s="106">
        <f t="shared" si="3"/>
        <v>506600</v>
      </c>
    </row>
    <row r="206" spans="1:7" x14ac:dyDescent="0.3">
      <c r="A206" s="215"/>
      <c r="B206" s="200"/>
      <c r="C206" s="200"/>
      <c r="D206" s="13" t="s">
        <v>93</v>
      </c>
      <c r="E206" s="111">
        <v>122280</v>
      </c>
      <c r="F206" s="133"/>
      <c r="G206" s="106">
        <f t="shared" si="3"/>
        <v>122280</v>
      </c>
    </row>
    <row r="207" spans="1:7" x14ac:dyDescent="0.3">
      <c r="A207" s="215"/>
      <c r="B207" s="200"/>
      <c r="C207" s="200"/>
      <c r="D207" s="147" t="s">
        <v>77</v>
      </c>
      <c r="E207" s="115">
        <v>32214</v>
      </c>
      <c r="F207" s="141"/>
      <c r="G207" s="106">
        <f t="shared" si="3"/>
        <v>32214</v>
      </c>
    </row>
    <row r="208" spans="1:7" x14ac:dyDescent="0.3">
      <c r="A208" s="215"/>
      <c r="B208" s="201"/>
      <c r="C208" s="201"/>
      <c r="D208" s="147" t="s">
        <v>81</v>
      </c>
      <c r="E208" s="115">
        <v>8053</v>
      </c>
      <c r="F208" s="141"/>
      <c r="G208" s="106">
        <f t="shared" ref="G208" si="4">E208+F208</f>
        <v>8053</v>
      </c>
    </row>
    <row r="209" spans="1:7" ht="24.6" thickBot="1" x14ac:dyDescent="0.35">
      <c r="A209" s="215"/>
      <c r="B209" s="41" t="s">
        <v>73</v>
      </c>
      <c r="C209" s="42"/>
      <c r="D209" s="43"/>
      <c r="E209" s="117">
        <f>SUBTOTAL(9,E203:E208)</f>
        <v>3298142</v>
      </c>
      <c r="F209" s="142"/>
      <c r="G209" s="121">
        <f t="shared" ref="G209:G243" si="5">E209+F209</f>
        <v>3298142</v>
      </c>
    </row>
    <row r="210" spans="1:7" ht="15.75" customHeight="1" x14ac:dyDescent="0.3">
      <c r="A210" s="234" t="s">
        <v>148</v>
      </c>
      <c r="B210" s="236" t="s">
        <v>198</v>
      </c>
      <c r="C210" s="236" t="s">
        <v>96</v>
      </c>
      <c r="D210" s="45" t="s">
        <v>72</v>
      </c>
      <c r="E210" s="148">
        <v>643758</v>
      </c>
      <c r="F210" s="195">
        <v>36500</v>
      </c>
      <c r="G210" s="123">
        <f t="shared" si="5"/>
        <v>680258</v>
      </c>
    </row>
    <row r="211" spans="1:7" ht="19.5" customHeight="1" x14ac:dyDescent="0.3">
      <c r="A211" s="215"/>
      <c r="B211" s="237"/>
      <c r="C211" s="237"/>
      <c r="D211" s="46" t="s">
        <v>75</v>
      </c>
      <c r="E211" s="149">
        <v>519400</v>
      </c>
      <c r="F211" s="131">
        <v>11300</v>
      </c>
      <c r="G211" s="106">
        <f t="shared" si="5"/>
        <v>530700</v>
      </c>
    </row>
    <row r="212" spans="1:7" ht="24.6" thickBot="1" x14ac:dyDescent="0.35">
      <c r="A212" s="235"/>
      <c r="B212" s="38" t="s">
        <v>73</v>
      </c>
      <c r="C212" s="44"/>
      <c r="D212" s="40"/>
      <c r="E212" s="120">
        <f>E210+E211</f>
        <v>1163158</v>
      </c>
      <c r="F212" s="110">
        <f>F210+F211</f>
        <v>47800</v>
      </c>
      <c r="G212" s="107">
        <f t="shared" si="5"/>
        <v>1210958</v>
      </c>
    </row>
    <row r="213" spans="1:7" ht="15" thickBot="1" x14ac:dyDescent="0.35">
      <c r="A213" s="231" t="s">
        <v>151</v>
      </c>
      <c r="B213" s="232"/>
      <c r="C213" s="233"/>
      <c r="D213" s="50"/>
      <c r="E213" s="118">
        <f>E12+E68+E71+E73+E75+E77+E79+E81+E83+E85+E87+E89+E92+E95+E98+E102+E105+E109+E113+E118+E123+E128+E133+E138+E143+E148+E153+E158+E163+E168+E173+E178+E183+E188+E193+E198+E202+E209+E212</f>
        <v>102284131</v>
      </c>
      <c r="F213" s="118">
        <f>F12+F68+F71+F73+F75+F77+F79+F81+F83+F85+F87+F89+F92+F95+F98+F102+F105+F109+F113+F118+F123+F128+F133+F138+F143+F148+F153+F158+F163+F168+F173+F178+F183+F188+F193+F198+F202+F209+F212</f>
        <v>563361</v>
      </c>
      <c r="G213" s="108">
        <f t="shared" si="5"/>
        <v>102847492</v>
      </c>
    </row>
    <row r="214" spans="1:7" ht="15" thickBot="1" x14ac:dyDescent="0.35">
      <c r="A214" s="55"/>
      <c r="B214" s="55"/>
      <c r="C214" s="55"/>
      <c r="D214" s="56"/>
      <c r="E214" s="57"/>
      <c r="F214" s="94"/>
      <c r="G214" s="95"/>
    </row>
    <row r="215" spans="1:7" ht="38.25" customHeight="1" thickBot="1" x14ac:dyDescent="0.35">
      <c r="A215" s="55"/>
      <c r="B215" s="158" t="s">
        <v>152</v>
      </c>
      <c r="C215" s="208" t="s">
        <v>153</v>
      </c>
      <c r="D215" s="209"/>
      <c r="E215" s="159" t="s">
        <v>199</v>
      </c>
      <c r="F215" s="154" t="s">
        <v>183</v>
      </c>
      <c r="G215" s="160" t="s">
        <v>184</v>
      </c>
    </row>
    <row r="216" spans="1:7" ht="15" customHeight="1" x14ac:dyDescent="0.3">
      <c r="A216" s="55"/>
      <c r="B216" s="155" t="s">
        <v>154</v>
      </c>
      <c r="C216" s="230" t="s">
        <v>155</v>
      </c>
      <c r="D216" s="230"/>
      <c r="E216" s="156">
        <f>E12+E19+E71</f>
        <v>8992560</v>
      </c>
      <c r="F216" s="156"/>
      <c r="G216" s="157">
        <f t="shared" si="5"/>
        <v>8992560</v>
      </c>
    </row>
    <row r="217" spans="1:7" ht="15" customHeight="1" x14ac:dyDescent="0.3">
      <c r="A217" s="55"/>
      <c r="B217" s="17" t="s">
        <v>156</v>
      </c>
      <c r="C217" s="204" t="s">
        <v>157</v>
      </c>
      <c r="D217" s="204"/>
      <c r="E217" s="58">
        <f>E22+E73+E75+E77+E79+E81+E83+E85+E87+E89</f>
        <v>5193057</v>
      </c>
      <c r="F217" s="58"/>
      <c r="G217" s="93">
        <f t="shared" si="5"/>
        <v>5193057</v>
      </c>
    </row>
    <row r="218" spans="1:7" x14ac:dyDescent="0.3">
      <c r="A218" s="55"/>
      <c r="B218" s="17" t="s">
        <v>158</v>
      </c>
      <c r="C218" s="204" t="s">
        <v>159</v>
      </c>
      <c r="D218" s="204"/>
      <c r="E218" s="58">
        <f>E28</f>
        <v>1411400</v>
      </c>
      <c r="F218" s="58">
        <f>F28</f>
        <v>469268</v>
      </c>
      <c r="G218" s="93">
        <f t="shared" si="5"/>
        <v>1880668</v>
      </c>
    </row>
    <row r="219" spans="1:7" ht="24.75" customHeight="1" x14ac:dyDescent="0.3">
      <c r="A219" s="55"/>
      <c r="B219" s="17" t="s">
        <v>160</v>
      </c>
      <c r="C219" s="204" t="s">
        <v>161</v>
      </c>
      <c r="D219" s="204"/>
      <c r="E219" s="58">
        <f>E36</f>
        <v>13305375</v>
      </c>
      <c r="F219" s="58">
        <f>F36</f>
        <v>0</v>
      </c>
      <c r="G219" s="93">
        <f t="shared" si="5"/>
        <v>13305375</v>
      </c>
    </row>
    <row r="220" spans="1:7" ht="15" customHeight="1" x14ac:dyDescent="0.3">
      <c r="A220" s="55"/>
      <c r="B220" s="17" t="s">
        <v>162</v>
      </c>
      <c r="C220" s="204" t="s">
        <v>163</v>
      </c>
      <c r="D220" s="204"/>
      <c r="E220" s="58">
        <f>E43</f>
        <v>12510844</v>
      </c>
      <c r="F220" s="58">
        <f>F43</f>
        <v>20720</v>
      </c>
      <c r="G220" s="93">
        <f t="shared" si="5"/>
        <v>12531564</v>
      </c>
    </row>
    <row r="221" spans="1:7" ht="15" customHeight="1" x14ac:dyDescent="0.3">
      <c r="A221" s="55"/>
      <c r="B221" s="17" t="s">
        <v>164</v>
      </c>
      <c r="C221" s="204" t="s">
        <v>165</v>
      </c>
      <c r="D221" s="204"/>
      <c r="E221" s="58">
        <f>E46+E92</f>
        <v>869481</v>
      </c>
      <c r="F221" s="20"/>
      <c r="G221" s="93">
        <f t="shared" si="5"/>
        <v>869481</v>
      </c>
    </row>
    <row r="222" spans="1:7" ht="26.25" customHeight="1" x14ac:dyDescent="0.3">
      <c r="A222" s="55"/>
      <c r="B222" s="17" t="s">
        <v>166</v>
      </c>
      <c r="C222" s="204" t="s">
        <v>167</v>
      </c>
      <c r="D222" s="204"/>
      <c r="E222" s="58">
        <f>E48+E95+E98+E102+E105</f>
        <v>6041592</v>
      </c>
      <c r="F222" s="20"/>
      <c r="G222" s="93">
        <f t="shared" si="5"/>
        <v>6041592</v>
      </c>
    </row>
    <row r="223" spans="1:7" x14ac:dyDescent="0.3">
      <c r="A223" s="55"/>
      <c r="B223" s="17" t="s">
        <v>168</v>
      </c>
      <c r="C223" s="204" t="s">
        <v>169</v>
      </c>
      <c r="D223" s="204"/>
      <c r="E223" s="58">
        <f>E55+E109+E113+E118+E123+E128+E133+E138+E143+E148+E153+E158+E163+E168+E173+E178+E183+E188+E193+E198</f>
        <v>40885326</v>
      </c>
      <c r="F223" s="58">
        <f>F55+F188</f>
        <v>59412</v>
      </c>
      <c r="G223" s="93">
        <f t="shared" si="5"/>
        <v>40944738</v>
      </c>
    </row>
    <row r="224" spans="1:7" ht="15.75" customHeight="1" x14ac:dyDescent="0.3">
      <c r="A224" s="55"/>
      <c r="B224" s="17" t="s">
        <v>170</v>
      </c>
      <c r="C224" s="204" t="s">
        <v>171</v>
      </c>
      <c r="D224" s="204"/>
      <c r="E224" s="58">
        <f>E61+E202+E209</f>
        <v>10708010</v>
      </c>
      <c r="F224" s="58">
        <v>2661</v>
      </c>
      <c r="G224" s="93">
        <f t="shared" si="5"/>
        <v>10710671</v>
      </c>
    </row>
    <row r="225" spans="1:7" x14ac:dyDescent="0.3">
      <c r="A225" s="55"/>
      <c r="B225" s="17">
        <v>10</v>
      </c>
      <c r="C225" s="229" t="s">
        <v>172</v>
      </c>
      <c r="D225" s="229"/>
      <c r="E225" s="58">
        <f>E63+E212</f>
        <v>2018158</v>
      </c>
      <c r="F225" s="31">
        <f>F63+F212</f>
        <v>11300</v>
      </c>
      <c r="G225" s="93">
        <f t="shared" si="5"/>
        <v>2029458</v>
      </c>
    </row>
    <row r="226" spans="1:7" ht="24.75" customHeight="1" thickBot="1" x14ac:dyDescent="0.35">
      <c r="A226" s="55"/>
      <c r="B226" s="162">
        <v>11</v>
      </c>
      <c r="C226" s="205" t="s">
        <v>173</v>
      </c>
      <c r="D226" s="205"/>
      <c r="E226" s="163">
        <f>E67</f>
        <v>348328</v>
      </c>
      <c r="F226" s="164">
        <f>+F67</f>
        <v>0</v>
      </c>
      <c r="G226" s="165">
        <f t="shared" si="5"/>
        <v>348328</v>
      </c>
    </row>
    <row r="227" spans="1:7" ht="21" customHeight="1" thickBot="1" x14ac:dyDescent="0.35">
      <c r="A227" s="55"/>
      <c r="B227" s="206" t="s">
        <v>151</v>
      </c>
      <c r="C227" s="207"/>
      <c r="D227" s="207"/>
      <c r="E227" s="166">
        <f>SUBTOTAL(9,E216:E226)</f>
        <v>102284131</v>
      </c>
      <c r="F227" s="168">
        <f>SUBTOTAL(9,F216:F226)</f>
        <v>563361</v>
      </c>
      <c r="G227" s="167">
        <f t="shared" si="5"/>
        <v>102847492</v>
      </c>
    </row>
    <row r="228" spans="1:7" ht="22.5" customHeight="1" thickBot="1" x14ac:dyDescent="0.35">
      <c r="A228" s="55"/>
      <c r="B228" s="55"/>
      <c r="C228" s="55"/>
      <c r="D228" s="56"/>
      <c r="E228" s="57"/>
      <c r="F228" s="96"/>
      <c r="G228" s="97"/>
    </row>
    <row r="229" spans="1:7" ht="36" customHeight="1" thickBot="1" x14ac:dyDescent="0.35">
      <c r="A229" s="55"/>
      <c r="B229" s="158" t="s">
        <v>174</v>
      </c>
      <c r="C229" s="208" t="s">
        <v>153</v>
      </c>
      <c r="D229" s="209"/>
      <c r="E229" s="161" t="s">
        <v>199</v>
      </c>
      <c r="F229" s="154" t="s">
        <v>183</v>
      </c>
      <c r="G229" s="160" t="s">
        <v>184</v>
      </c>
    </row>
    <row r="230" spans="1:7" ht="25.5" customHeight="1" x14ac:dyDescent="0.3">
      <c r="A230" s="55"/>
      <c r="B230" s="98" t="s">
        <v>72</v>
      </c>
      <c r="C230" s="212" t="s">
        <v>175</v>
      </c>
      <c r="D230" s="212"/>
      <c r="E230" s="170">
        <f>E11+E13+E20+E23+E29+E37+E44+E47+E49+E56+E62+E64+E69+E72+E74+E76+E78+E80+E82+E84+E86+E88+E90+E93+E96+E99+E103+E106+E110+E114+E119+E124+E129+E134+E139+E144+E149+E154+E159+E164+E169+E174+E179+E184+E189+E194+E199+E203+E210</f>
        <v>56059434</v>
      </c>
      <c r="F230" s="99">
        <f>F11+F13+F20+F23+F29+F37+F44+F47+F49+F56+F62+F64+F69+F72+F74+F76+F78+F80+F82+F84+F86+F88+F90+F93+F96+F99+F103+F106+F110+F114+F119+F124+F129+F134+F139+F144+F149+F154+F159+F164+F169+F174+F179+F184+F189+F194+F199+F203+F210</f>
        <v>0</v>
      </c>
      <c r="G230" s="92">
        <f t="shared" si="5"/>
        <v>56059434</v>
      </c>
    </row>
    <row r="231" spans="1:7" x14ac:dyDescent="0.3">
      <c r="A231" s="55"/>
      <c r="B231" s="51" t="s">
        <v>75</v>
      </c>
      <c r="C231" s="210" t="s">
        <v>176</v>
      </c>
      <c r="D231" s="210"/>
      <c r="E231" s="59">
        <f>E14+E21+E94+E97+E100+E104+E107+E111+E115+E120+E125+E130+E135+E140+E145+E150+E155+E160+E165+E170+E175+E180+E185+E190+E195+E200+E204+E211</f>
        <v>3126700</v>
      </c>
      <c r="F231" s="62"/>
      <c r="G231" s="93">
        <f t="shared" si="5"/>
        <v>3126700</v>
      </c>
    </row>
    <row r="232" spans="1:7" ht="27.75" customHeight="1" x14ac:dyDescent="0.3">
      <c r="A232" s="55"/>
      <c r="B232" s="51" t="s">
        <v>76</v>
      </c>
      <c r="C232" s="210" t="s">
        <v>177</v>
      </c>
      <c r="D232" s="210"/>
      <c r="E232" s="62">
        <f>E15+E24+E57+E66+E70+E91+E205</f>
        <v>5271517</v>
      </c>
      <c r="F232" s="62">
        <f>F15+F24+F57+F66+F70+F91+F205</f>
        <v>0</v>
      </c>
      <c r="G232" s="93">
        <f t="shared" si="5"/>
        <v>5271517</v>
      </c>
    </row>
    <row r="233" spans="1:7" x14ac:dyDescent="0.3">
      <c r="A233" s="55"/>
      <c r="B233" s="51" t="s">
        <v>196</v>
      </c>
      <c r="C233" s="216" t="s">
        <v>200</v>
      </c>
      <c r="D233" s="217"/>
      <c r="E233" s="59">
        <f>E40</f>
        <v>2510480</v>
      </c>
      <c r="F233" s="59">
        <f>F40</f>
        <v>20720</v>
      </c>
      <c r="G233" s="93">
        <f t="shared" si="5"/>
        <v>2531200</v>
      </c>
    </row>
    <row r="234" spans="1:7" ht="27" customHeight="1" x14ac:dyDescent="0.3">
      <c r="A234" s="55"/>
      <c r="B234" s="51" t="s">
        <v>92</v>
      </c>
      <c r="C234" s="210" t="s">
        <v>53</v>
      </c>
      <c r="D234" s="210"/>
      <c r="E234" s="62">
        <f>E50+E54+E108+E112+E116+E121+E126+E131+E136+E141+E146+E151+E156+E161+E166+E171+E176+E181+E186+E191+E196</f>
        <v>24720735</v>
      </c>
      <c r="F234" s="62"/>
      <c r="G234" s="93">
        <f t="shared" si="5"/>
        <v>24720735</v>
      </c>
    </row>
    <row r="235" spans="1:7" x14ac:dyDescent="0.3">
      <c r="A235" s="55"/>
      <c r="B235" s="51" t="s">
        <v>93</v>
      </c>
      <c r="C235" s="210" t="s">
        <v>201</v>
      </c>
      <c r="D235" s="210"/>
      <c r="E235" s="62">
        <f>E18+E34+E52+E59+E101+E117+E122+E127+E132+E137+E142+E147+E152+E157+E162+E167+E172+E177+E182+E187+E192+E197+E201+E206</f>
        <v>2108894</v>
      </c>
      <c r="F235" s="62">
        <f>F18+F34+F52+F59+F101+F117+F122+F127+F132+F137+F142+F147+F152+F157+F162+F167+F172+F177+F182+F187+F192+F197+F201+F206+F27</f>
        <v>673160</v>
      </c>
      <c r="G235" s="93">
        <f t="shared" si="5"/>
        <v>2782054</v>
      </c>
    </row>
    <row r="236" spans="1:7" ht="24" customHeight="1" x14ac:dyDescent="0.3">
      <c r="A236" s="55"/>
      <c r="B236" s="51" t="s">
        <v>81</v>
      </c>
      <c r="C236" s="216" t="s">
        <v>216</v>
      </c>
      <c r="D236" s="217"/>
      <c r="E236" s="62">
        <f>E17+E33+E42+E51+E58+E26+E208</f>
        <v>823907</v>
      </c>
      <c r="F236" s="62">
        <f>F17+F33+F42+F51+F58+F26+F208</f>
        <v>-180178</v>
      </c>
      <c r="G236" s="93">
        <f t="shared" si="5"/>
        <v>643729</v>
      </c>
    </row>
    <row r="237" spans="1:7" x14ac:dyDescent="0.3">
      <c r="A237" s="55"/>
      <c r="B237" s="51" t="s">
        <v>84</v>
      </c>
      <c r="C237" s="238" t="s">
        <v>178</v>
      </c>
      <c r="D237" s="238"/>
      <c r="E237" s="59">
        <f>E30</f>
        <v>1227800</v>
      </c>
      <c r="F237" s="62"/>
      <c r="G237" s="93">
        <f t="shared" si="5"/>
        <v>1227800</v>
      </c>
    </row>
    <row r="238" spans="1:7" ht="34.5" customHeight="1" x14ac:dyDescent="0.3">
      <c r="A238" s="55"/>
      <c r="B238" s="51" t="s">
        <v>77</v>
      </c>
      <c r="C238" s="210" t="s">
        <v>179</v>
      </c>
      <c r="D238" s="210"/>
      <c r="E238" s="62">
        <f>E16+E35+E41+E53+E60+E25+E207</f>
        <v>4906434</v>
      </c>
      <c r="F238" s="62">
        <f>F16+F35+F41+F53+F60+F25+F207</f>
        <v>49659</v>
      </c>
      <c r="G238" s="93">
        <f t="shared" si="5"/>
        <v>4956093</v>
      </c>
    </row>
    <row r="239" spans="1:7" ht="39.75" customHeight="1" x14ac:dyDescent="0.3">
      <c r="A239" s="55"/>
      <c r="B239" s="51" t="s">
        <v>79</v>
      </c>
      <c r="C239" s="210" t="s">
        <v>202</v>
      </c>
      <c r="D239" s="210"/>
      <c r="E239" s="62">
        <f>E32</f>
        <v>474000</v>
      </c>
      <c r="F239" s="63"/>
      <c r="G239" s="93">
        <f t="shared" si="5"/>
        <v>474000</v>
      </c>
    </row>
    <row r="240" spans="1:7" ht="30" customHeight="1" x14ac:dyDescent="0.3">
      <c r="A240" s="55"/>
      <c r="B240" s="51" t="s">
        <v>87</v>
      </c>
      <c r="C240" s="210" t="s">
        <v>180</v>
      </c>
      <c r="D240" s="210"/>
      <c r="E240" s="62">
        <f>E38+E65</f>
        <v>149300</v>
      </c>
      <c r="F240" s="60"/>
      <c r="G240" s="93">
        <f t="shared" si="5"/>
        <v>149300</v>
      </c>
    </row>
    <row r="241" spans="1:7" ht="27" customHeight="1" x14ac:dyDescent="0.3">
      <c r="A241" s="55"/>
      <c r="B241" s="51" t="s">
        <v>88</v>
      </c>
      <c r="C241" s="210" t="s">
        <v>181</v>
      </c>
      <c r="D241" s="210"/>
      <c r="E241" s="62">
        <f>E39+E45</f>
        <v>329930</v>
      </c>
      <c r="F241" s="60"/>
      <c r="G241" s="93">
        <f t="shared" si="5"/>
        <v>329930</v>
      </c>
    </row>
    <row r="242" spans="1:7" ht="39.75" customHeight="1" thickBot="1" x14ac:dyDescent="0.35">
      <c r="A242" s="55"/>
      <c r="B242" s="100" t="s">
        <v>85</v>
      </c>
      <c r="C242" s="211" t="s">
        <v>182</v>
      </c>
      <c r="D242" s="211"/>
      <c r="E242" s="171">
        <f>E31</f>
        <v>575000</v>
      </c>
      <c r="F242" s="101"/>
      <c r="G242" s="102">
        <f t="shared" si="5"/>
        <v>575000</v>
      </c>
    </row>
    <row r="243" spans="1:7" ht="15" thickBot="1" x14ac:dyDescent="0.35">
      <c r="A243" s="55"/>
      <c r="B243" s="202" t="s">
        <v>151</v>
      </c>
      <c r="C243" s="203"/>
      <c r="D243" s="203"/>
      <c r="E243" s="169">
        <f>SUBTOTAL(9,E230:E242)</f>
        <v>102284131</v>
      </c>
      <c r="F243" s="169">
        <f>SUBTOTAL(9,F230:F242)</f>
        <v>563361</v>
      </c>
      <c r="G243" s="167">
        <f t="shared" si="5"/>
        <v>102847492</v>
      </c>
    </row>
    <row r="244" spans="1:7" x14ac:dyDescent="0.3">
      <c r="F244" s="52"/>
      <c r="G244" s="52"/>
    </row>
    <row r="245" spans="1:7" x14ac:dyDescent="0.3">
      <c r="F245" s="52"/>
      <c r="G245" s="52"/>
    </row>
    <row r="246" spans="1:7" x14ac:dyDescent="0.3">
      <c r="F246" s="52"/>
      <c r="G246" s="52"/>
    </row>
    <row r="247" spans="1:7" x14ac:dyDescent="0.3">
      <c r="F247" s="52"/>
      <c r="G247" s="52"/>
    </row>
  </sheetData>
  <mergeCells count="135">
    <mergeCell ref="C23:C27"/>
    <mergeCell ref="C239:D239"/>
    <mergeCell ref="C225:D225"/>
    <mergeCell ref="C216:D216"/>
    <mergeCell ref="C215:D215"/>
    <mergeCell ref="A213:C213"/>
    <mergeCell ref="A203:A209"/>
    <mergeCell ref="C199:C201"/>
    <mergeCell ref="B199:B201"/>
    <mergeCell ref="A199:A202"/>
    <mergeCell ref="A210:A212"/>
    <mergeCell ref="B210:B211"/>
    <mergeCell ref="C210:C211"/>
    <mergeCell ref="C232:D232"/>
    <mergeCell ref="C234:D234"/>
    <mergeCell ref="C235:D235"/>
    <mergeCell ref="C237:D237"/>
    <mergeCell ref="B203:B208"/>
    <mergeCell ref="C203:C208"/>
    <mergeCell ref="C231:D231"/>
    <mergeCell ref="A194:A198"/>
    <mergeCell ref="A184:A188"/>
    <mergeCell ref="B194:B197"/>
    <mergeCell ref="C194:C197"/>
    <mergeCell ref="B184:B187"/>
    <mergeCell ref="C184:C187"/>
    <mergeCell ref="A179:A183"/>
    <mergeCell ref="A189:A193"/>
    <mergeCell ref="B179:B182"/>
    <mergeCell ref="C179:C182"/>
    <mergeCell ref="B189:B192"/>
    <mergeCell ref="C189:C192"/>
    <mergeCell ref="B174:B177"/>
    <mergeCell ref="A164:A168"/>
    <mergeCell ref="A169:A173"/>
    <mergeCell ref="A174:A178"/>
    <mergeCell ref="C159:C162"/>
    <mergeCell ref="C174:C177"/>
    <mergeCell ref="B164:B167"/>
    <mergeCell ref="C164:C167"/>
    <mergeCell ref="B169:B172"/>
    <mergeCell ref="C169:C172"/>
    <mergeCell ref="A154:A158"/>
    <mergeCell ref="A149:A153"/>
    <mergeCell ref="B149:B152"/>
    <mergeCell ref="C149:C152"/>
    <mergeCell ref="B154:B157"/>
    <mergeCell ref="C154:C157"/>
    <mergeCell ref="A144:A148"/>
    <mergeCell ref="A139:A143"/>
    <mergeCell ref="A159:A163"/>
    <mergeCell ref="B159:B162"/>
    <mergeCell ref="C129:C132"/>
    <mergeCell ref="A124:A128"/>
    <mergeCell ref="A129:A133"/>
    <mergeCell ref="A134:A138"/>
    <mergeCell ref="A119:A123"/>
    <mergeCell ref="B119:B122"/>
    <mergeCell ref="C119:C122"/>
    <mergeCell ref="B144:B147"/>
    <mergeCell ref="C144:C147"/>
    <mergeCell ref="B139:B142"/>
    <mergeCell ref="C139:C142"/>
    <mergeCell ref="A8:G8"/>
    <mergeCell ref="A13:A68"/>
    <mergeCell ref="C20:C21"/>
    <mergeCell ref="C49:C53"/>
    <mergeCell ref="B13:B67"/>
    <mergeCell ref="C64:C66"/>
    <mergeCell ref="C13:C18"/>
    <mergeCell ref="C37:C42"/>
    <mergeCell ref="A99:A102"/>
    <mergeCell ref="B99:B101"/>
    <mergeCell ref="C69:C70"/>
    <mergeCell ref="C56:C60"/>
    <mergeCell ref="C29:C35"/>
    <mergeCell ref="C44:C45"/>
    <mergeCell ref="A84:A85"/>
    <mergeCell ref="A86:A87"/>
    <mergeCell ref="A88:A89"/>
    <mergeCell ref="A90:A92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233:D233"/>
    <mergeCell ref="C238:D238"/>
    <mergeCell ref="C236:D236"/>
    <mergeCell ref="C93:C94"/>
    <mergeCell ref="B93:B94"/>
    <mergeCell ref="A93:A95"/>
    <mergeCell ref="C96:C97"/>
    <mergeCell ref="B96:B97"/>
    <mergeCell ref="A96:A98"/>
    <mergeCell ref="A106:A109"/>
    <mergeCell ref="A114:A118"/>
    <mergeCell ref="A103:A105"/>
    <mergeCell ref="C106:C108"/>
    <mergeCell ref="A110:A113"/>
    <mergeCell ref="B103:B104"/>
    <mergeCell ref="C103:C104"/>
    <mergeCell ref="B114:B117"/>
    <mergeCell ref="C114:C117"/>
    <mergeCell ref="B106:B108"/>
    <mergeCell ref="B110:B112"/>
    <mergeCell ref="C134:C137"/>
    <mergeCell ref="C110:C112"/>
    <mergeCell ref="B124:B127"/>
    <mergeCell ref="C124:C127"/>
    <mergeCell ref="B134:B137"/>
    <mergeCell ref="C99:C101"/>
    <mergeCell ref="B90:B91"/>
    <mergeCell ref="C90:C91"/>
    <mergeCell ref="B243:D243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6:D226"/>
    <mergeCell ref="B227:D227"/>
    <mergeCell ref="C229:D229"/>
    <mergeCell ref="C240:D240"/>
    <mergeCell ref="C241:D241"/>
    <mergeCell ref="C242:D242"/>
    <mergeCell ref="C230:D230"/>
    <mergeCell ref="B129:B132"/>
  </mergeCells>
  <conditionalFormatting sqref="E9 F226">
    <cfRule type="cellIs" dxfId="23" priority="38" stopIfTrue="1" operator="equal">
      <formula>0</formula>
    </cfRule>
  </conditionalFormatting>
  <conditionalFormatting sqref="E11 E13:E18 E72 E74 E76 E78 E80 E82 E84 E86 E88 E90:E91 E93 E96 E99 E101 E103:E104 E106 E108 E124 E126:E127 E129:E130 E134 E136:E137 E139 E141:E142 E144 E146:E147 E149 E151:E152 E154 E156:E157 E159:E160 E164:E167 E169 E171:E172 E174 E176:E177 E179:E180 E189:E192 E194:E195 E199:E201 E203:E208 F230:F238 E230:E242">
    <cfRule type="cellIs" dxfId="22" priority="12" stopIfTrue="1" operator="equal">
      <formula>0</formula>
    </cfRule>
  </conditionalFormatting>
  <conditionalFormatting sqref="E11:E213 E9 F22 F28 F30 F38 F43 F47 F79 F128">
    <cfRule type="cellIs" dxfId="21" priority="25" stopIfTrue="1" operator="equal">
      <formula>0</formula>
    </cfRule>
  </conditionalFormatting>
  <conditionalFormatting sqref="E44">
    <cfRule type="cellIs" dxfId="20" priority="10" stopIfTrue="1" operator="equal">
      <formula>0</formula>
    </cfRule>
  </conditionalFormatting>
  <conditionalFormatting sqref="E60">
    <cfRule type="cellIs" dxfId="19" priority="9" stopIfTrue="1" operator="equal">
      <formula>0</formula>
    </cfRule>
  </conditionalFormatting>
  <conditionalFormatting sqref="E69:E70">
    <cfRule type="cellIs" dxfId="18" priority="2" stopIfTrue="1" operator="equal">
      <formula>0</formula>
    </cfRule>
  </conditionalFormatting>
  <conditionalFormatting sqref="E110 E112">
    <cfRule type="cellIs" dxfId="17" priority="6" stopIfTrue="1" operator="equal">
      <formula>0</formula>
    </cfRule>
  </conditionalFormatting>
  <conditionalFormatting sqref="E114 E116:E117">
    <cfRule type="cellIs" dxfId="16" priority="5" stopIfTrue="1" operator="equal">
      <formula>0</formula>
    </cfRule>
  </conditionalFormatting>
  <conditionalFormatting sqref="E119 E121:E122">
    <cfRule type="cellIs" dxfId="15" priority="4" stopIfTrue="1" operator="equal">
      <formula>0</formula>
    </cfRule>
  </conditionalFormatting>
  <conditionalFormatting sqref="E184:E185">
    <cfRule type="cellIs" dxfId="14" priority="3" stopIfTrue="1" operator="equal">
      <formula>0</formula>
    </cfRule>
  </conditionalFormatting>
  <conditionalFormatting sqref="E213:F213">
    <cfRule type="cellIs" dxfId="13" priority="11" stopIfTrue="1" operator="equal">
      <formula>0</formula>
    </cfRule>
  </conditionalFormatting>
  <conditionalFormatting sqref="E243:F243">
    <cfRule type="cellIs" dxfId="12" priority="7" stopIfTrue="1" operator="equal">
      <formula>0</formula>
    </cfRule>
  </conditionalFormatting>
  <conditionalFormatting sqref="F19:F20 F35:F36 F55 F60:F61 F67:F68 F182:F183 F188 F212:F213">
    <cfRule type="cellIs" dxfId="11" priority="1" stopIfTrue="1" operator="equal">
      <formula>0</formula>
    </cfRule>
  </conditionalFormatting>
  <conditionalFormatting sqref="F209 F201">
    <cfRule type="cellIs" dxfId="10" priority="37" stopIfTrue="1" operator="equal">
      <formula>0</formula>
    </cfRule>
  </conditionalFormatting>
  <conditionalFormatting sqref="F209">
    <cfRule type="cellIs" dxfId="9" priority="36" stopIfTrue="1" operator="equal">
      <formula>0</formula>
    </cfRule>
  </conditionalFormatting>
  <conditionalFormatting sqref="F214">
    <cfRule type="cellIs" dxfId="8" priority="33" stopIfTrue="1" operator="equal">
      <formula>0</formula>
    </cfRule>
  </conditionalFormatting>
  <conditionalFormatting sqref="F216:F220 E216:E227 F223:F224 F227">
    <cfRule type="cellIs" dxfId="7" priority="8" stopIfTrue="1" operator="equal">
      <formula>0</formula>
    </cfRule>
  </conditionalFormatting>
  <conditionalFormatting sqref="F239">
    <cfRule type="cellIs" dxfId="6" priority="32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60" max="6" man="1"/>
  </rowBreaks>
  <ignoredErrors>
    <ignoredError sqref="E2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opLeftCell="A10" workbookViewId="0">
      <selection activeCell="J22" sqref="J22"/>
    </sheetView>
  </sheetViews>
  <sheetFormatPr defaultRowHeight="14.4" x14ac:dyDescent="0.3"/>
  <cols>
    <col min="1" max="1" width="9.44140625" customWidth="1"/>
    <col min="2" max="2" width="20.33203125" customWidth="1"/>
    <col min="3" max="3" width="35.109375" customWidth="1"/>
    <col min="4" max="4" width="16" customWidth="1"/>
    <col min="5" max="5" width="14.44140625" customWidth="1"/>
    <col min="6" max="6" width="10.5546875" customWidth="1"/>
    <col min="7" max="7" width="11" customWidth="1"/>
  </cols>
  <sheetData>
    <row r="1" spans="1:8" x14ac:dyDescent="0.3">
      <c r="A1" s="8"/>
      <c r="C1" s="26"/>
      <c r="D1" s="26"/>
      <c r="E1" s="26" t="s">
        <v>226</v>
      </c>
      <c r="F1" s="29"/>
      <c r="G1" s="29"/>
    </row>
    <row r="2" spans="1:8" ht="14.4" customHeight="1" x14ac:dyDescent="0.3">
      <c r="A2" s="8"/>
      <c r="B2" s="4" t="s">
        <v>188</v>
      </c>
      <c r="C2" s="5"/>
      <c r="D2" s="28"/>
      <c r="E2" s="192"/>
      <c r="F2" s="27"/>
      <c r="G2" s="27"/>
      <c r="H2" s="27"/>
    </row>
    <row r="3" spans="1:8" x14ac:dyDescent="0.3">
      <c r="A3" s="8"/>
      <c r="B3" s="4" t="s">
        <v>193</v>
      </c>
      <c r="C3" s="5"/>
      <c r="D3" s="28"/>
      <c r="E3" s="28"/>
      <c r="F3" s="27"/>
      <c r="G3" s="27"/>
      <c r="H3" s="27"/>
    </row>
    <row r="4" spans="1:8" x14ac:dyDescent="0.3">
      <c r="A4" s="8"/>
      <c r="B4" s="4" t="s">
        <v>189</v>
      </c>
      <c r="C4" s="5"/>
      <c r="D4" s="28"/>
      <c r="E4" s="28"/>
      <c r="F4" s="27"/>
      <c r="G4" s="27"/>
      <c r="H4" s="27"/>
    </row>
    <row r="5" spans="1:8" x14ac:dyDescent="0.3">
      <c r="A5" s="8"/>
      <c r="B5" s="4" t="s">
        <v>228</v>
      </c>
      <c r="C5" s="5"/>
      <c r="D5" s="28"/>
      <c r="E5" s="28"/>
      <c r="F5" s="27"/>
      <c r="G5" s="27"/>
      <c r="H5" s="27"/>
    </row>
    <row r="6" spans="1:8" x14ac:dyDescent="0.3">
      <c r="A6" s="8"/>
      <c r="B6" s="4" t="s">
        <v>227</v>
      </c>
      <c r="C6" s="5"/>
      <c r="D6" s="28"/>
      <c r="E6" s="28"/>
      <c r="F6" s="27"/>
      <c r="G6" s="27"/>
      <c r="H6" s="27"/>
    </row>
    <row r="7" spans="1:8" x14ac:dyDescent="0.3">
      <c r="A7" s="8"/>
      <c r="B7" s="9"/>
      <c r="C7" s="9"/>
      <c r="D7" s="9"/>
      <c r="E7" s="173"/>
    </row>
    <row r="8" spans="1:8" ht="15.6" x14ac:dyDescent="0.3">
      <c r="A8" s="245" t="s">
        <v>217</v>
      </c>
      <c r="B8" s="245"/>
      <c r="C8" s="245"/>
      <c r="D8" s="245"/>
      <c r="E8" s="245"/>
    </row>
    <row r="9" spans="1:8" x14ac:dyDescent="0.3">
      <c r="A9" s="8"/>
      <c r="B9" s="174"/>
      <c r="C9" s="174"/>
      <c r="D9" s="174"/>
      <c r="E9" s="9"/>
    </row>
    <row r="10" spans="1:8" ht="27.6" x14ac:dyDescent="0.3">
      <c r="A10" s="175" t="s">
        <v>0</v>
      </c>
      <c r="B10" s="176" t="s">
        <v>67</v>
      </c>
      <c r="C10" s="176" t="s">
        <v>68</v>
      </c>
      <c r="D10" s="176" t="s">
        <v>218</v>
      </c>
      <c r="E10" s="190" t="s">
        <v>219</v>
      </c>
      <c r="F10" s="194" t="s">
        <v>183</v>
      </c>
      <c r="G10" s="194" t="s">
        <v>184</v>
      </c>
    </row>
    <row r="11" spans="1:8" x14ac:dyDescent="0.3">
      <c r="A11" s="241" t="s">
        <v>2</v>
      </c>
      <c r="B11" s="243" t="s">
        <v>74</v>
      </c>
      <c r="C11" s="248" t="s">
        <v>71</v>
      </c>
      <c r="D11" s="82" t="s">
        <v>75</v>
      </c>
      <c r="E11" s="21">
        <v>57700</v>
      </c>
      <c r="F11" s="191"/>
      <c r="G11" s="83">
        <f>E11+F11</f>
        <v>57700</v>
      </c>
    </row>
    <row r="12" spans="1:8" x14ac:dyDescent="0.3">
      <c r="A12" s="246"/>
      <c r="B12" s="247"/>
      <c r="C12" s="248"/>
      <c r="D12" s="82" t="s">
        <v>72</v>
      </c>
      <c r="E12" s="21">
        <f>1688600+240000</f>
        <v>1928600</v>
      </c>
      <c r="F12" s="191"/>
      <c r="G12" s="83">
        <f t="shared" ref="G12:G52" si="0">E12+F12</f>
        <v>1928600</v>
      </c>
    </row>
    <row r="13" spans="1:8" x14ac:dyDescent="0.3">
      <c r="A13" s="246"/>
      <c r="B13" s="247"/>
      <c r="C13" s="248" t="s">
        <v>78</v>
      </c>
      <c r="D13" s="82" t="s">
        <v>72</v>
      </c>
      <c r="E13" s="21">
        <v>100000</v>
      </c>
      <c r="F13" s="191"/>
      <c r="G13" s="83">
        <f t="shared" si="0"/>
        <v>100000</v>
      </c>
    </row>
    <row r="14" spans="1:8" x14ac:dyDescent="0.3">
      <c r="A14" s="246"/>
      <c r="B14" s="247"/>
      <c r="C14" s="248"/>
      <c r="D14" s="82" t="s">
        <v>75</v>
      </c>
      <c r="E14" s="21">
        <v>115900</v>
      </c>
      <c r="F14" s="191"/>
      <c r="G14" s="83">
        <f t="shared" si="0"/>
        <v>115900</v>
      </c>
    </row>
    <row r="15" spans="1:8" x14ac:dyDescent="0.3">
      <c r="A15" s="246"/>
      <c r="B15" s="247"/>
      <c r="C15" s="243" t="s">
        <v>83</v>
      </c>
      <c r="D15" s="82" t="s">
        <v>85</v>
      </c>
      <c r="E15" s="21">
        <f>550000</f>
        <v>550000</v>
      </c>
      <c r="F15" s="191"/>
      <c r="G15" s="83">
        <f t="shared" si="0"/>
        <v>550000</v>
      </c>
    </row>
    <row r="16" spans="1:8" x14ac:dyDescent="0.3">
      <c r="A16" s="246"/>
      <c r="B16" s="247"/>
      <c r="C16" s="244"/>
      <c r="D16" s="82" t="s">
        <v>79</v>
      </c>
      <c r="E16" s="21">
        <v>474000</v>
      </c>
      <c r="F16" s="191"/>
      <c r="G16" s="83">
        <f t="shared" si="0"/>
        <v>474000</v>
      </c>
    </row>
    <row r="17" spans="1:7" x14ac:dyDescent="0.3">
      <c r="A17" s="246"/>
      <c r="B17" s="247"/>
      <c r="C17" s="248" t="s">
        <v>86</v>
      </c>
      <c r="D17" s="82" t="s">
        <v>72</v>
      </c>
      <c r="E17" s="21">
        <v>2210000</v>
      </c>
      <c r="F17" s="191"/>
      <c r="G17" s="83">
        <f t="shared" si="0"/>
        <v>2210000</v>
      </c>
    </row>
    <row r="18" spans="1:7" x14ac:dyDescent="0.3">
      <c r="A18" s="246"/>
      <c r="B18" s="247"/>
      <c r="C18" s="248"/>
      <c r="D18" s="82" t="s">
        <v>88</v>
      </c>
      <c r="E18" s="21">
        <v>94564</v>
      </c>
      <c r="F18" s="191"/>
      <c r="G18" s="83">
        <f t="shared" si="0"/>
        <v>94564</v>
      </c>
    </row>
    <row r="19" spans="1:7" x14ac:dyDescent="0.3">
      <c r="A19" s="246"/>
      <c r="B19" s="247"/>
      <c r="C19" s="248"/>
      <c r="D19" s="82" t="s">
        <v>87</v>
      </c>
      <c r="E19" s="21">
        <v>66300</v>
      </c>
      <c r="F19" s="191"/>
      <c r="G19" s="83">
        <f t="shared" si="0"/>
        <v>66300</v>
      </c>
    </row>
    <row r="20" spans="1:7" x14ac:dyDescent="0.3">
      <c r="A20" s="246"/>
      <c r="B20" s="247"/>
      <c r="C20" s="177" t="s">
        <v>89</v>
      </c>
      <c r="D20" s="82" t="s">
        <v>88</v>
      </c>
      <c r="E20" s="21">
        <v>11366</v>
      </c>
      <c r="F20" s="191"/>
      <c r="G20" s="83">
        <f t="shared" si="0"/>
        <v>11366</v>
      </c>
    </row>
    <row r="21" spans="1:7" x14ac:dyDescent="0.3">
      <c r="A21" s="246"/>
      <c r="B21" s="244"/>
      <c r="C21" s="177" t="s">
        <v>91</v>
      </c>
      <c r="D21" s="82" t="s">
        <v>72</v>
      </c>
      <c r="E21" s="21">
        <v>117300</v>
      </c>
      <c r="F21" s="191"/>
      <c r="G21" s="83">
        <f t="shared" si="0"/>
        <v>117300</v>
      </c>
    </row>
    <row r="22" spans="1:7" ht="27.6" x14ac:dyDescent="0.3">
      <c r="A22" s="242"/>
      <c r="B22" s="178" t="s">
        <v>73</v>
      </c>
      <c r="C22" s="179"/>
      <c r="D22" s="179"/>
      <c r="E22" s="180">
        <f>SUBTOTAL(9,E11:E21)</f>
        <v>5725730</v>
      </c>
      <c r="F22" s="191"/>
      <c r="G22" s="64">
        <f t="shared" si="0"/>
        <v>5725730</v>
      </c>
    </row>
    <row r="23" spans="1:7" ht="41.4" x14ac:dyDescent="0.3">
      <c r="A23" s="82" t="s">
        <v>4</v>
      </c>
      <c r="B23" s="181" t="s">
        <v>109</v>
      </c>
      <c r="C23" s="181" t="s">
        <v>90</v>
      </c>
      <c r="D23" s="82" t="s">
        <v>75</v>
      </c>
      <c r="E23" s="21">
        <v>22200</v>
      </c>
      <c r="F23" s="191"/>
      <c r="G23" s="30">
        <f t="shared" si="0"/>
        <v>22200</v>
      </c>
    </row>
    <row r="24" spans="1:7" ht="27.6" x14ac:dyDescent="0.3">
      <c r="A24" s="82" t="s">
        <v>6</v>
      </c>
      <c r="B24" s="181" t="s">
        <v>110</v>
      </c>
      <c r="C24" s="181" t="s">
        <v>90</v>
      </c>
      <c r="D24" s="82" t="s">
        <v>75</v>
      </c>
      <c r="E24" s="21">
        <v>2200</v>
      </c>
      <c r="F24" s="191"/>
      <c r="G24" s="30">
        <f t="shared" si="0"/>
        <v>2200</v>
      </c>
    </row>
    <row r="25" spans="1:7" ht="27.6" x14ac:dyDescent="0.3">
      <c r="A25" s="82" t="s">
        <v>16</v>
      </c>
      <c r="B25" s="181" t="s">
        <v>112</v>
      </c>
      <c r="C25" s="181" t="s">
        <v>90</v>
      </c>
      <c r="D25" s="82" t="s">
        <v>75</v>
      </c>
      <c r="E25" s="21">
        <v>77700</v>
      </c>
      <c r="F25" s="191"/>
      <c r="G25" s="30">
        <f t="shared" si="0"/>
        <v>77700</v>
      </c>
    </row>
    <row r="26" spans="1:7" x14ac:dyDescent="0.3">
      <c r="A26" s="239" t="s">
        <v>220</v>
      </c>
      <c r="B26" s="239"/>
      <c r="C26" s="239"/>
      <c r="D26" s="239"/>
      <c r="E26" s="182">
        <f>SUM(E23:E25)</f>
        <v>102100</v>
      </c>
      <c r="F26" s="191"/>
      <c r="G26" s="64">
        <f t="shared" si="0"/>
        <v>102100</v>
      </c>
    </row>
    <row r="27" spans="1:7" ht="41.4" x14ac:dyDescent="0.3">
      <c r="A27" s="82" t="s">
        <v>24</v>
      </c>
      <c r="B27" s="181" t="s">
        <v>115</v>
      </c>
      <c r="C27" s="181" t="s">
        <v>91</v>
      </c>
      <c r="D27" s="82" t="s">
        <v>75</v>
      </c>
      <c r="E27" s="21">
        <v>1400</v>
      </c>
      <c r="F27" s="191"/>
      <c r="G27" s="30">
        <f t="shared" si="0"/>
        <v>1400</v>
      </c>
    </row>
    <row r="28" spans="1:7" ht="41.4" x14ac:dyDescent="0.3">
      <c r="A28" s="82" t="s">
        <v>26</v>
      </c>
      <c r="B28" s="181" t="s">
        <v>114</v>
      </c>
      <c r="C28" s="181" t="s">
        <v>91</v>
      </c>
      <c r="D28" s="82" t="s">
        <v>75</v>
      </c>
      <c r="E28" s="21">
        <v>800</v>
      </c>
      <c r="F28" s="191"/>
      <c r="G28" s="30">
        <f t="shared" si="0"/>
        <v>800</v>
      </c>
    </row>
    <row r="29" spans="1:7" ht="27.6" x14ac:dyDescent="0.3">
      <c r="A29" s="82" t="s">
        <v>30</v>
      </c>
      <c r="B29" s="181" t="s">
        <v>117</v>
      </c>
      <c r="C29" s="181" t="s">
        <v>91</v>
      </c>
      <c r="D29" s="82" t="s">
        <v>75</v>
      </c>
      <c r="E29" s="21">
        <v>1400</v>
      </c>
      <c r="F29" s="191"/>
      <c r="G29" s="30">
        <f t="shared" si="0"/>
        <v>1400</v>
      </c>
    </row>
    <row r="30" spans="1:7" x14ac:dyDescent="0.3">
      <c r="A30" s="241" t="s">
        <v>38</v>
      </c>
      <c r="B30" s="243" t="s">
        <v>119</v>
      </c>
      <c r="C30" s="243" t="s">
        <v>91</v>
      </c>
      <c r="D30" s="82" t="s">
        <v>75</v>
      </c>
      <c r="E30" s="21">
        <v>18500</v>
      </c>
      <c r="F30" s="191"/>
      <c r="G30" s="30">
        <f t="shared" si="0"/>
        <v>18500</v>
      </c>
    </row>
    <row r="31" spans="1:7" x14ac:dyDescent="0.3">
      <c r="A31" s="242"/>
      <c r="B31" s="244"/>
      <c r="C31" s="244"/>
      <c r="D31" s="82" t="s">
        <v>72</v>
      </c>
      <c r="E31" s="21">
        <v>5000</v>
      </c>
      <c r="F31" s="191"/>
      <c r="G31" s="30">
        <f t="shared" si="0"/>
        <v>5000</v>
      </c>
    </row>
    <row r="32" spans="1:7" ht="27.6" x14ac:dyDescent="0.3">
      <c r="A32" s="82" t="s">
        <v>43</v>
      </c>
      <c r="B32" s="181" t="s">
        <v>121</v>
      </c>
      <c r="C32" s="181" t="s">
        <v>91</v>
      </c>
      <c r="D32" s="82" t="s">
        <v>75</v>
      </c>
      <c r="E32" s="21">
        <v>3600</v>
      </c>
      <c r="F32" s="191"/>
      <c r="G32" s="30">
        <f t="shared" si="0"/>
        <v>3600</v>
      </c>
    </row>
    <row r="33" spans="1:7" ht="55.2" x14ac:dyDescent="0.3">
      <c r="A33" s="82" t="s">
        <v>45</v>
      </c>
      <c r="B33" s="181" t="s">
        <v>221</v>
      </c>
      <c r="C33" s="181" t="s">
        <v>91</v>
      </c>
      <c r="D33" s="82" t="s">
        <v>75</v>
      </c>
      <c r="E33" s="21">
        <v>300</v>
      </c>
      <c r="F33" s="191"/>
      <c r="G33" s="30">
        <f t="shared" si="0"/>
        <v>300</v>
      </c>
    </row>
    <row r="34" spans="1:7" ht="55.2" x14ac:dyDescent="0.3">
      <c r="A34" s="82" t="s">
        <v>49</v>
      </c>
      <c r="B34" s="181" t="s">
        <v>125</v>
      </c>
      <c r="C34" s="181" t="s">
        <v>91</v>
      </c>
      <c r="D34" s="82" t="s">
        <v>75</v>
      </c>
      <c r="E34" s="21">
        <v>3200</v>
      </c>
      <c r="F34" s="191"/>
      <c r="G34" s="30">
        <f t="shared" si="0"/>
        <v>3200</v>
      </c>
    </row>
    <row r="35" spans="1:7" ht="41.4" x14ac:dyDescent="0.3">
      <c r="A35" s="82" t="s">
        <v>50</v>
      </c>
      <c r="B35" s="181" t="s">
        <v>129</v>
      </c>
      <c r="C35" s="181" t="s">
        <v>91</v>
      </c>
      <c r="D35" s="82" t="s">
        <v>75</v>
      </c>
      <c r="E35" s="21">
        <v>9700</v>
      </c>
      <c r="F35" s="191"/>
      <c r="G35" s="30">
        <f t="shared" si="0"/>
        <v>9700</v>
      </c>
    </row>
    <row r="36" spans="1:7" ht="41.4" x14ac:dyDescent="0.3">
      <c r="A36" s="82" t="s">
        <v>52</v>
      </c>
      <c r="B36" s="181" t="s">
        <v>131</v>
      </c>
      <c r="C36" s="181" t="s">
        <v>91</v>
      </c>
      <c r="D36" s="82" t="s">
        <v>75</v>
      </c>
      <c r="E36" s="21">
        <v>13900</v>
      </c>
      <c r="F36" s="191"/>
      <c r="G36" s="30">
        <f t="shared" si="0"/>
        <v>13900</v>
      </c>
    </row>
    <row r="37" spans="1:7" ht="41.4" x14ac:dyDescent="0.3">
      <c r="A37" s="82" t="s">
        <v>54</v>
      </c>
      <c r="B37" s="181" t="s">
        <v>133</v>
      </c>
      <c r="C37" s="181" t="s">
        <v>91</v>
      </c>
      <c r="D37" s="82" t="s">
        <v>75</v>
      </c>
      <c r="E37" s="21">
        <v>100</v>
      </c>
      <c r="F37" s="191"/>
      <c r="G37" s="30">
        <f t="shared" si="0"/>
        <v>100</v>
      </c>
    </row>
    <row r="38" spans="1:7" ht="41.4" x14ac:dyDescent="0.3">
      <c r="A38" s="82" t="s">
        <v>56</v>
      </c>
      <c r="B38" s="181" t="s">
        <v>135</v>
      </c>
      <c r="C38" s="181" t="s">
        <v>91</v>
      </c>
      <c r="D38" s="82" t="s">
        <v>75</v>
      </c>
      <c r="E38" s="21">
        <v>3500</v>
      </c>
      <c r="F38" s="191"/>
      <c r="G38" s="30">
        <f t="shared" si="0"/>
        <v>3500</v>
      </c>
    </row>
    <row r="39" spans="1:7" ht="41.4" x14ac:dyDescent="0.3">
      <c r="A39" s="82" t="s">
        <v>58</v>
      </c>
      <c r="B39" s="181" t="s">
        <v>137</v>
      </c>
      <c r="C39" s="181" t="s">
        <v>91</v>
      </c>
      <c r="D39" s="82" t="s">
        <v>75</v>
      </c>
      <c r="E39" s="21">
        <v>25100</v>
      </c>
      <c r="F39" s="191"/>
      <c r="G39" s="30">
        <f t="shared" si="0"/>
        <v>25100</v>
      </c>
    </row>
    <row r="40" spans="1:7" ht="41.4" x14ac:dyDescent="0.3">
      <c r="A40" s="82" t="s">
        <v>60</v>
      </c>
      <c r="B40" s="181" t="s">
        <v>139</v>
      </c>
      <c r="C40" s="181" t="s">
        <v>91</v>
      </c>
      <c r="D40" s="82" t="s">
        <v>75</v>
      </c>
      <c r="E40" s="21">
        <v>8900</v>
      </c>
      <c r="F40" s="191"/>
      <c r="G40" s="30">
        <f t="shared" si="0"/>
        <v>8900</v>
      </c>
    </row>
    <row r="41" spans="1:7" x14ac:dyDescent="0.3">
      <c r="A41" s="241" t="s">
        <v>61</v>
      </c>
      <c r="B41" s="243" t="s">
        <v>141</v>
      </c>
      <c r="C41" s="243" t="s">
        <v>91</v>
      </c>
      <c r="D41" s="82" t="s">
        <v>75</v>
      </c>
      <c r="E41" s="21">
        <v>4000</v>
      </c>
      <c r="F41" s="191"/>
      <c r="G41" s="30">
        <f t="shared" si="0"/>
        <v>4000</v>
      </c>
    </row>
    <row r="42" spans="1:7" ht="26.4" customHeight="1" x14ac:dyDescent="0.3">
      <c r="A42" s="242"/>
      <c r="B42" s="244"/>
      <c r="C42" s="244"/>
      <c r="D42" s="82" t="s">
        <v>72</v>
      </c>
      <c r="E42" s="21">
        <v>21100</v>
      </c>
      <c r="F42" s="191"/>
      <c r="G42" s="30">
        <f t="shared" si="0"/>
        <v>21100</v>
      </c>
    </row>
    <row r="43" spans="1:7" ht="41.4" x14ac:dyDescent="0.3">
      <c r="A43" s="82" t="s">
        <v>62</v>
      </c>
      <c r="B43" s="181" t="s">
        <v>143</v>
      </c>
      <c r="C43" s="181" t="s">
        <v>91</v>
      </c>
      <c r="D43" s="82" t="s">
        <v>75</v>
      </c>
      <c r="E43" s="21">
        <v>39000</v>
      </c>
      <c r="F43" s="30">
        <v>-11300</v>
      </c>
      <c r="G43" s="30">
        <f t="shared" si="0"/>
        <v>27700</v>
      </c>
    </row>
    <row r="44" spans="1:7" ht="41.4" x14ac:dyDescent="0.3">
      <c r="A44" s="82" t="s">
        <v>64</v>
      </c>
      <c r="B44" s="181" t="s">
        <v>145</v>
      </c>
      <c r="C44" s="181" t="s">
        <v>91</v>
      </c>
      <c r="D44" s="82" t="s">
        <v>75</v>
      </c>
      <c r="E44" s="21">
        <v>43100</v>
      </c>
      <c r="F44" s="191"/>
      <c r="G44" s="30">
        <f t="shared" si="0"/>
        <v>43100</v>
      </c>
    </row>
    <row r="45" spans="1:7" ht="27.6" x14ac:dyDescent="0.3">
      <c r="A45" s="82" t="s">
        <v>66</v>
      </c>
      <c r="B45" s="181" t="s">
        <v>147</v>
      </c>
      <c r="C45" s="181" t="s">
        <v>91</v>
      </c>
      <c r="D45" s="82" t="s">
        <v>75</v>
      </c>
      <c r="E45" s="21">
        <v>25400</v>
      </c>
      <c r="F45" s="191"/>
      <c r="G45" s="30">
        <f t="shared" si="0"/>
        <v>25400</v>
      </c>
    </row>
    <row r="46" spans="1:7" x14ac:dyDescent="0.3">
      <c r="A46" s="239" t="s">
        <v>222</v>
      </c>
      <c r="B46" s="239"/>
      <c r="C46" s="239"/>
      <c r="D46" s="239"/>
      <c r="E46" s="182">
        <f>SUM(E27:E45)</f>
        <v>228000</v>
      </c>
      <c r="F46" s="182">
        <f>SUM(F27:F45)</f>
        <v>-11300</v>
      </c>
      <c r="G46" s="64">
        <f t="shared" si="0"/>
        <v>216700</v>
      </c>
    </row>
    <row r="47" spans="1:7" ht="27.6" x14ac:dyDescent="0.3">
      <c r="A47" s="82" t="s">
        <v>116</v>
      </c>
      <c r="B47" s="181" t="s">
        <v>149</v>
      </c>
      <c r="C47" s="181" t="s">
        <v>95</v>
      </c>
      <c r="D47" s="82" t="s">
        <v>75</v>
      </c>
      <c r="E47" s="21">
        <v>5200</v>
      </c>
      <c r="F47" s="191"/>
      <c r="G47" s="30">
        <f t="shared" si="0"/>
        <v>5200</v>
      </c>
    </row>
    <row r="48" spans="1:7" ht="41.4" x14ac:dyDescent="0.3">
      <c r="A48" s="82" t="s">
        <v>118</v>
      </c>
      <c r="B48" s="181" t="s">
        <v>150</v>
      </c>
      <c r="C48" s="181" t="s">
        <v>95</v>
      </c>
      <c r="D48" s="82" t="s">
        <v>75</v>
      </c>
      <c r="E48" s="21">
        <v>26800</v>
      </c>
      <c r="F48" s="191"/>
      <c r="G48" s="30">
        <f t="shared" si="0"/>
        <v>26800</v>
      </c>
    </row>
    <row r="49" spans="1:7" x14ac:dyDescent="0.3">
      <c r="A49" s="239" t="s">
        <v>223</v>
      </c>
      <c r="B49" s="239"/>
      <c r="C49" s="239"/>
      <c r="D49" s="239"/>
      <c r="E49" s="182">
        <f>E47+E48</f>
        <v>32000</v>
      </c>
      <c r="F49" s="191"/>
      <c r="G49" s="30">
        <f t="shared" si="0"/>
        <v>32000</v>
      </c>
    </row>
    <row r="50" spans="1:7" ht="41.4" x14ac:dyDescent="0.3">
      <c r="A50" s="82" t="s">
        <v>120</v>
      </c>
      <c r="B50" s="181" t="s">
        <v>198</v>
      </c>
      <c r="C50" s="181" t="s">
        <v>96</v>
      </c>
      <c r="D50" s="82" t="s">
        <v>75</v>
      </c>
      <c r="E50" s="21">
        <v>90400</v>
      </c>
      <c r="F50" s="30">
        <v>11300</v>
      </c>
      <c r="G50" s="30">
        <f t="shared" si="0"/>
        <v>101700</v>
      </c>
    </row>
    <row r="51" spans="1:7" x14ac:dyDescent="0.3">
      <c r="A51" s="239" t="s">
        <v>224</v>
      </c>
      <c r="B51" s="239"/>
      <c r="C51" s="239"/>
      <c r="D51" s="239"/>
      <c r="E51" s="182">
        <f>E50</f>
        <v>90400</v>
      </c>
      <c r="F51" s="182">
        <f>F50</f>
        <v>11300</v>
      </c>
      <c r="G51" s="64">
        <f t="shared" si="0"/>
        <v>101700</v>
      </c>
    </row>
    <row r="52" spans="1:7" x14ac:dyDescent="0.3">
      <c r="A52" s="240" t="s">
        <v>151</v>
      </c>
      <c r="B52" s="240"/>
      <c r="C52" s="240"/>
      <c r="D52" s="240"/>
      <c r="E52" s="180">
        <f>E22+E26+E46+E49+E51</f>
        <v>6178230</v>
      </c>
      <c r="F52" s="180">
        <f>F22+F26+F46+F49+F51</f>
        <v>0</v>
      </c>
      <c r="G52" s="64">
        <f t="shared" si="0"/>
        <v>6178230</v>
      </c>
    </row>
    <row r="53" spans="1:7" x14ac:dyDescent="0.3">
      <c r="A53" s="8"/>
      <c r="B53" s="8"/>
      <c r="C53" s="8"/>
      <c r="D53" s="8"/>
      <c r="E53" s="8"/>
      <c r="F53" s="192"/>
      <c r="G53" s="192"/>
    </row>
    <row r="54" spans="1:7" x14ac:dyDescent="0.3">
      <c r="A54" s="8"/>
      <c r="B54" s="8"/>
      <c r="C54" s="8"/>
      <c r="D54" s="8"/>
      <c r="E54" s="8"/>
      <c r="F54" s="192"/>
      <c r="G54" s="192"/>
    </row>
    <row r="55" spans="1:7" ht="41.4" x14ac:dyDescent="0.3">
      <c r="A55" s="8"/>
      <c r="B55" s="183"/>
      <c r="C55" s="176" t="s">
        <v>153</v>
      </c>
      <c r="D55" s="176" t="s">
        <v>174</v>
      </c>
      <c r="E55" s="184" t="s">
        <v>199</v>
      </c>
      <c r="F55" s="194" t="s">
        <v>183</v>
      </c>
      <c r="G55" s="194" t="s">
        <v>184</v>
      </c>
    </row>
    <row r="56" spans="1:7" ht="27.6" x14ac:dyDescent="0.3">
      <c r="A56" s="8"/>
      <c r="B56" s="185"/>
      <c r="C56" s="186" t="s">
        <v>175</v>
      </c>
      <c r="D56" s="187" t="s">
        <v>72</v>
      </c>
      <c r="E56" s="21">
        <f>E12+E13+E17+E21+E31+E42</f>
        <v>4382000</v>
      </c>
      <c r="F56" s="191"/>
      <c r="G56" s="30">
        <f>E56+F56</f>
        <v>4382000</v>
      </c>
    </row>
    <row r="57" spans="1:7" ht="27.6" x14ac:dyDescent="0.3">
      <c r="A57" s="8"/>
      <c r="B57" s="185"/>
      <c r="C57" s="186" t="s">
        <v>176</v>
      </c>
      <c r="D57" s="187" t="s">
        <v>75</v>
      </c>
      <c r="E57" s="21">
        <f>E11+E14+E23+E24+E25+E27+E28+E29+E30+E32+E33+E34+E35+E36+E37+E38+E39+E40+E41+E43+E44+E45+E47+E48+E50</f>
        <v>600000</v>
      </c>
      <c r="F57" s="24">
        <f>F43+F50</f>
        <v>0</v>
      </c>
      <c r="G57" s="30">
        <f t="shared" ref="G57:G62" si="1">E57+F57</f>
        <v>600000</v>
      </c>
    </row>
    <row r="58" spans="1:7" ht="41.4" x14ac:dyDescent="0.3">
      <c r="A58" s="8"/>
      <c r="B58" s="185"/>
      <c r="C58" s="186" t="s">
        <v>202</v>
      </c>
      <c r="D58" s="187" t="s">
        <v>79</v>
      </c>
      <c r="E58" s="21">
        <f>E16</f>
        <v>474000</v>
      </c>
      <c r="F58" s="191"/>
      <c r="G58" s="30">
        <f t="shared" si="1"/>
        <v>474000</v>
      </c>
    </row>
    <row r="59" spans="1:7" ht="27.6" x14ac:dyDescent="0.3">
      <c r="A59" s="8"/>
      <c r="B59" s="185"/>
      <c r="C59" s="186" t="s">
        <v>180</v>
      </c>
      <c r="D59" s="187" t="s">
        <v>87</v>
      </c>
      <c r="E59" s="21">
        <f>E19</f>
        <v>66300</v>
      </c>
      <c r="F59" s="191"/>
      <c r="G59" s="30">
        <f t="shared" si="1"/>
        <v>66300</v>
      </c>
    </row>
    <row r="60" spans="1:7" ht="41.4" x14ac:dyDescent="0.3">
      <c r="A60" s="8"/>
      <c r="B60" s="185"/>
      <c r="C60" s="186" t="s">
        <v>225</v>
      </c>
      <c r="D60" s="187" t="s">
        <v>85</v>
      </c>
      <c r="E60" s="21">
        <f>E15</f>
        <v>550000</v>
      </c>
      <c r="F60" s="191"/>
      <c r="G60" s="30">
        <f t="shared" si="1"/>
        <v>550000</v>
      </c>
    </row>
    <row r="61" spans="1:7" ht="27.6" x14ac:dyDescent="0.3">
      <c r="A61" s="8"/>
      <c r="B61" s="185"/>
      <c r="C61" s="186" t="s">
        <v>181</v>
      </c>
      <c r="D61" s="187" t="s">
        <v>88</v>
      </c>
      <c r="E61" s="21">
        <f>E18+E20</f>
        <v>105930</v>
      </c>
      <c r="F61" s="191"/>
      <c r="G61" s="30">
        <f t="shared" si="1"/>
        <v>105930</v>
      </c>
    </row>
    <row r="62" spans="1:7" x14ac:dyDescent="0.3">
      <c r="A62" s="8"/>
      <c r="B62" s="188"/>
      <c r="C62" s="175" t="s">
        <v>151</v>
      </c>
      <c r="D62" s="189"/>
      <c r="E62" s="182">
        <f>SUBTOTAL(9,E56:E61)</f>
        <v>6178230</v>
      </c>
      <c r="F62" s="182">
        <f>SUBTOTAL(9,F56:F61)</f>
        <v>0</v>
      </c>
      <c r="G62" s="193">
        <f t="shared" si="1"/>
        <v>6178230</v>
      </c>
    </row>
  </sheetData>
  <mergeCells count="18">
    <mergeCell ref="A8:E8"/>
    <mergeCell ref="A11:A22"/>
    <mergeCell ref="B11:B21"/>
    <mergeCell ref="C11:C12"/>
    <mergeCell ref="C13:C14"/>
    <mergeCell ref="C15:C16"/>
    <mergeCell ref="C17:C19"/>
    <mergeCell ref="A46:D46"/>
    <mergeCell ref="A49:D49"/>
    <mergeCell ref="A51:D51"/>
    <mergeCell ref="A52:D52"/>
    <mergeCell ref="A26:D26"/>
    <mergeCell ref="A30:A31"/>
    <mergeCell ref="B30:B31"/>
    <mergeCell ref="C30:C31"/>
    <mergeCell ref="A41:A42"/>
    <mergeCell ref="B41:B42"/>
    <mergeCell ref="C41:C42"/>
  </mergeCells>
  <conditionalFormatting sqref="E11:E13 E23:E26 E30:E42 E44:E51 F46 F51 E56:E61">
    <cfRule type="cellIs" dxfId="5" priority="6" stopIfTrue="1" operator="equal">
      <formula>0</formula>
    </cfRule>
  </conditionalFormatting>
  <conditionalFormatting sqref="E11:E52 F51:F52 F46">
    <cfRule type="cellIs" dxfId="4" priority="5" stopIfTrue="1" operator="equal">
      <formula>0</formula>
    </cfRule>
  </conditionalFormatting>
  <conditionalFormatting sqref="E27:E29">
    <cfRule type="cellIs" dxfId="3" priority="2" stopIfTrue="1" operator="equal">
      <formula>0</formula>
    </cfRule>
  </conditionalFormatting>
  <conditionalFormatting sqref="E43">
    <cfRule type="cellIs" dxfId="2" priority="1" stopIfTrue="1" operator="equal">
      <formula>0</formula>
    </cfRule>
  </conditionalFormatting>
  <conditionalFormatting sqref="E52:F52">
    <cfRule type="cellIs" dxfId="1" priority="4" stopIfTrue="1" operator="equal">
      <formula>0</formula>
    </cfRule>
  </conditionalFormatting>
  <conditionalFormatting sqref="E62:F6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3 priedas</vt:lpstr>
      <vt:lpstr>4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Aušra Adomaitienė</cp:lastModifiedBy>
  <cp:lastPrinted>2026-05-14T10:59:44Z</cp:lastPrinted>
  <dcterms:created xsi:type="dcterms:W3CDTF">2025-03-26T13:26:14Z</dcterms:created>
  <dcterms:modified xsi:type="dcterms:W3CDTF">2026-05-19T08:26:00Z</dcterms:modified>
</cp:coreProperties>
</file>