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2"/>
  </bookViews>
  <sheets>
    <sheet name="1 priedas" sheetId="1" r:id="rId1"/>
    <sheet name="2 priedas" sheetId="3" r:id="rId2"/>
    <sheet name="3 priedas" sheetId="4" r:id="rId3"/>
  </sheets>
  <definedNames>
    <definedName name="_xlnm.Print_Area" localSheetId="0">'1 priedas'!$A$1:$E$48</definedName>
    <definedName name="_xlnm.Print_Area" localSheetId="1">'2 priedas'!$A$1:$N$41</definedName>
  </definedNames>
  <calcPr calcId="145621"/>
</workbook>
</file>

<file path=xl/calcChain.xml><?xml version="1.0" encoding="utf-8"?>
<calcChain xmlns="http://schemas.openxmlformats.org/spreadsheetml/2006/main">
  <c r="F228" i="4" l="1"/>
  <c r="F234" i="4"/>
  <c r="E18" i="3" l="1"/>
  <c r="E217" i="4" l="1"/>
  <c r="D45" i="1"/>
  <c r="D44" i="1"/>
  <c r="C44" i="1"/>
  <c r="E234" i="4"/>
  <c r="F229" i="4"/>
  <c r="E229" i="4"/>
  <c r="G214" i="4"/>
  <c r="G216" i="4" s="1"/>
  <c r="F216" i="4"/>
  <c r="E216" i="4"/>
  <c r="F225" i="4" l="1"/>
  <c r="F236" i="4" l="1"/>
  <c r="E246" i="4"/>
  <c r="G246" i="4" s="1"/>
  <c r="F245" i="4"/>
  <c r="E243" i="4"/>
  <c r="G243" i="4" s="1"/>
  <c r="F242" i="4"/>
  <c r="E242" i="4"/>
  <c r="E241" i="4"/>
  <c r="G241" i="4" s="1"/>
  <c r="F240" i="4"/>
  <c r="E240" i="4"/>
  <c r="F239" i="4"/>
  <c r="F238" i="4"/>
  <c r="E238" i="4"/>
  <c r="F237" i="4"/>
  <c r="E237" i="4"/>
  <c r="G237" i="4" s="1"/>
  <c r="F235" i="4"/>
  <c r="F213" i="4"/>
  <c r="G212" i="4"/>
  <c r="G211" i="4"/>
  <c r="E210" i="4"/>
  <c r="G210" i="4" s="1"/>
  <c r="E209" i="4"/>
  <c r="G209" i="4" s="1"/>
  <c r="G208" i="4"/>
  <c r="E207" i="4"/>
  <c r="G207" i="4" s="1"/>
  <c r="F206" i="4"/>
  <c r="E205" i="4"/>
  <c r="E239" i="4" s="1"/>
  <c r="G239" i="4" s="1"/>
  <c r="E204" i="4"/>
  <c r="G204" i="4" s="1"/>
  <c r="G203" i="4"/>
  <c r="F202" i="4"/>
  <c r="G201" i="4"/>
  <c r="G200" i="4"/>
  <c r="E199" i="4"/>
  <c r="G199" i="4" s="1"/>
  <c r="E198" i="4"/>
  <c r="G198" i="4" s="1"/>
  <c r="F197" i="4"/>
  <c r="G196" i="4"/>
  <c r="G195" i="4"/>
  <c r="E194" i="4"/>
  <c r="G194" i="4" s="1"/>
  <c r="E193" i="4"/>
  <c r="G193" i="4" s="1"/>
  <c r="F192" i="4"/>
  <c r="G191" i="4"/>
  <c r="G190" i="4"/>
  <c r="G189" i="4"/>
  <c r="E188" i="4"/>
  <c r="E192" i="4" s="1"/>
  <c r="G192" i="4" s="1"/>
  <c r="F187" i="4"/>
  <c r="G186" i="4"/>
  <c r="G185" i="4"/>
  <c r="E184" i="4"/>
  <c r="G184" i="4" s="1"/>
  <c r="E183" i="4"/>
  <c r="F182" i="4"/>
  <c r="G181" i="4"/>
  <c r="G180" i="4"/>
  <c r="E179" i="4"/>
  <c r="E182" i="4" s="1"/>
  <c r="G178" i="4"/>
  <c r="F177" i="4"/>
  <c r="G176" i="4"/>
  <c r="G175" i="4"/>
  <c r="E174" i="4"/>
  <c r="G174" i="4" s="1"/>
  <c r="G173" i="4"/>
  <c r="F172" i="4"/>
  <c r="G171" i="4"/>
  <c r="G170" i="4"/>
  <c r="E169" i="4"/>
  <c r="G169" i="4" s="1"/>
  <c r="G168" i="4"/>
  <c r="F167" i="4"/>
  <c r="G166" i="4"/>
  <c r="G165" i="4"/>
  <c r="E164" i="4"/>
  <c r="G164" i="4" s="1"/>
  <c r="G163" i="4"/>
  <c r="F162" i="4"/>
  <c r="G161" i="4"/>
  <c r="G160" i="4"/>
  <c r="E159" i="4"/>
  <c r="E162" i="4" s="1"/>
  <c r="G158" i="4"/>
  <c r="F157" i="4"/>
  <c r="G156" i="4"/>
  <c r="G155" i="4"/>
  <c r="E154" i="4"/>
  <c r="G154" i="4" s="1"/>
  <c r="G153" i="4"/>
  <c r="F152" i="4"/>
  <c r="G151" i="4"/>
  <c r="G150" i="4"/>
  <c r="E149" i="4"/>
  <c r="G149" i="4" s="1"/>
  <c r="E148" i="4"/>
  <c r="E152" i="4" s="1"/>
  <c r="G152" i="4" s="1"/>
  <c r="F147" i="4"/>
  <c r="G146" i="4"/>
  <c r="G145" i="4"/>
  <c r="E144" i="4"/>
  <c r="G144" i="4" s="1"/>
  <c r="E143" i="4"/>
  <c r="F142" i="4"/>
  <c r="G141" i="4"/>
  <c r="G140" i="4"/>
  <c r="E139" i="4"/>
  <c r="G139" i="4" s="1"/>
  <c r="E138" i="4"/>
  <c r="F137" i="4"/>
  <c r="G136" i="4"/>
  <c r="G135" i="4"/>
  <c r="E134" i="4"/>
  <c r="E137" i="4" s="1"/>
  <c r="G137" i="4" s="1"/>
  <c r="G133" i="4"/>
  <c r="F132" i="4"/>
  <c r="G131" i="4"/>
  <c r="G130" i="4"/>
  <c r="E129" i="4"/>
  <c r="G129" i="4" s="1"/>
  <c r="E128" i="4"/>
  <c r="G128" i="4" s="1"/>
  <c r="F127" i="4"/>
  <c r="G126" i="4"/>
  <c r="G125" i="4"/>
  <c r="E124" i="4"/>
  <c r="G124" i="4" s="1"/>
  <c r="E123" i="4"/>
  <c r="F122" i="4"/>
  <c r="G121" i="4"/>
  <c r="G120" i="4"/>
  <c r="E119" i="4"/>
  <c r="E122" i="4" s="1"/>
  <c r="G118" i="4"/>
  <c r="F117" i="4"/>
  <c r="G116" i="4"/>
  <c r="E115" i="4"/>
  <c r="G115" i="4" s="1"/>
  <c r="E114" i="4"/>
  <c r="F113" i="4"/>
  <c r="G112" i="4"/>
  <c r="G111" i="4"/>
  <c r="E110" i="4"/>
  <c r="E109" i="4"/>
  <c r="G109" i="4" s="1"/>
  <c r="F108" i="4"/>
  <c r="E108" i="4"/>
  <c r="G107" i="4"/>
  <c r="G106" i="4"/>
  <c r="F105" i="4"/>
  <c r="E105" i="4"/>
  <c r="G104" i="4"/>
  <c r="G103" i="4"/>
  <c r="G102" i="4"/>
  <c r="F101" i="4"/>
  <c r="G100" i="4"/>
  <c r="E99" i="4"/>
  <c r="E98" i="4"/>
  <c r="G98" i="4" s="1"/>
  <c r="F97" i="4"/>
  <c r="G96" i="4"/>
  <c r="E95" i="4"/>
  <c r="E97" i="4" s="1"/>
  <c r="F94" i="4"/>
  <c r="G93" i="4"/>
  <c r="E92" i="4"/>
  <c r="E94" i="4" s="1"/>
  <c r="F91" i="4"/>
  <c r="E91" i="4"/>
  <c r="G90" i="4"/>
  <c r="G89" i="4"/>
  <c r="E88" i="4"/>
  <c r="G88" i="4" s="1"/>
  <c r="G87" i="4"/>
  <c r="E86" i="4"/>
  <c r="G86" i="4" s="1"/>
  <c r="G85" i="4"/>
  <c r="F84" i="4"/>
  <c r="E84" i="4"/>
  <c r="G83" i="4"/>
  <c r="E82" i="4"/>
  <c r="G82" i="4" s="1"/>
  <c r="G81" i="4"/>
  <c r="E80" i="4"/>
  <c r="G80" i="4" s="1"/>
  <c r="G79" i="4"/>
  <c r="F78" i="4"/>
  <c r="E78" i="4"/>
  <c r="G77" i="4"/>
  <c r="F76" i="4"/>
  <c r="E76" i="4"/>
  <c r="G75" i="4"/>
  <c r="E74" i="4"/>
  <c r="G74" i="4" s="1"/>
  <c r="G73" i="4"/>
  <c r="F72" i="4"/>
  <c r="E72" i="4"/>
  <c r="G71" i="4"/>
  <c r="F70" i="4"/>
  <c r="E70" i="4"/>
  <c r="G69" i="4"/>
  <c r="G68" i="4"/>
  <c r="F66" i="4"/>
  <c r="F230" i="4" s="1"/>
  <c r="E66" i="4"/>
  <c r="E230" i="4" s="1"/>
  <c r="G230" i="4" s="1"/>
  <c r="G65" i="4"/>
  <c r="G64" i="4"/>
  <c r="G63" i="4"/>
  <c r="G62" i="4"/>
  <c r="E61" i="4"/>
  <c r="G229" i="4" s="1"/>
  <c r="G60" i="4"/>
  <c r="F59" i="4"/>
  <c r="G58" i="4"/>
  <c r="G57" i="4"/>
  <c r="G56" i="4"/>
  <c r="G55" i="4"/>
  <c r="E54" i="4"/>
  <c r="E59" i="4" s="1"/>
  <c r="F53" i="4"/>
  <c r="E53" i="4"/>
  <c r="G52" i="4"/>
  <c r="G51" i="4"/>
  <c r="G50" i="4"/>
  <c r="G49" i="4"/>
  <c r="G48" i="4"/>
  <c r="G47" i="4"/>
  <c r="G46" i="4"/>
  <c r="F45" i="4"/>
  <c r="E45" i="4"/>
  <c r="G44" i="4"/>
  <c r="F43" i="4"/>
  <c r="E43" i="4"/>
  <c r="E225" i="4" s="1"/>
  <c r="G225" i="4" s="1"/>
  <c r="G42" i="4"/>
  <c r="G41" i="4"/>
  <c r="F40" i="4"/>
  <c r="G39" i="4"/>
  <c r="E38" i="4"/>
  <c r="E245" i="4" s="1"/>
  <c r="G245" i="4" s="1"/>
  <c r="E37" i="4"/>
  <c r="E244" i="4" s="1"/>
  <c r="G244" i="4" s="1"/>
  <c r="E36" i="4"/>
  <c r="F35" i="4"/>
  <c r="F223" i="4" s="1"/>
  <c r="E35" i="4"/>
  <c r="E223" i="4" s="1"/>
  <c r="G34" i="4"/>
  <c r="G33" i="4"/>
  <c r="G32" i="4"/>
  <c r="G31" i="4"/>
  <c r="G30" i="4"/>
  <c r="G29" i="4"/>
  <c r="G28" i="4"/>
  <c r="F27" i="4"/>
  <c r="G26" i="4"/>
  <c r="G25" i="4"/>
  <c r="G24" i="4"/>
  <c r="E23" i="4"/>
  <c r="F22" i="4"/>
  <c r="G21" i="4"/>
  <c r="E20" i="4"/>
  <c r="E22" i="4" s="1"/>
  <c r="G19" i="4"/>
  <c r="F18" i="4"/>
  <c r="F220" i="4" s="1"/>
  <c r="G17" i="4"/>
  <c r="G16" i="4"/>
  <c r="G15" i="4"/>
  <c r="E14" i="4"/>
  <c r="G13" i="4"/>
  <c r="E12" i="4"/>
  <c r="G12" i="4" s="1"/>
  <c r="G11" i="4"/>
  <c r="G45" i="4" l="1"/>
  <c r="G108" i="4"/>
  <c r="E127" i="4"/>
  <c r="E147" i="4"/>
  <c r="G147" i="4" s="1"/>
  <c r="E113" i="4"/>
  <c r="G113" i="4" s="1"/>
  <c r="G240" i="4"/>
  <c r="G76" i="4"/>
  <c r="E236" i="4"/>
  <c r="G236" i="4" s="1"/>
  <c r="G84" i="4"/>
  <c r="G242" i="4"/>
  <c r="E235" i="4"/>
  <c r="G235" i="4" s="1"/>
  <c r="G97" i="4"/>
  <c r="G43" i="4"/>
  <c r="E117" i="4"/>
  <c r="G117" i="4" s="1"/>
  <c r="E142" i="4"/>
  <c r="G142" i="4" s="1"/>
  <c r="G20" i="4"/>
  <c r="E40" i="4"/>
  <c r="G40" i="4" s="1"/>
  <c r="G14" i="4"/>
  <c r="E18" i="4"/>
  <c r="G18" i="4" s="1"/>
  <c r="G234" i="4"/>
  <c r="G54" i="4"/>
  <c r="G61" i="4"/>
  <c r="G72" i="4"/>
  <c r="G182" i="4"/>
  <c r="E187" i="4"/>
  <c r="G187" i="4" s="1"/>
  <c r="E197" i="4"/>
  <c r="G197" i="4" s="1"/>
  <c r="E177" i="4"/>
  <c r="G177" i="4" s="1"/>
  <c r="G38" i="4"/>
  <c r="G94" i="4"/>
  <c r="G105" i="4"/>
  <c r="G114" i="4"/>
  <c r="G143" i="4"/>
  <c r="E157" i="4"/>
  <c r="G157" i="4" s="1"/>
  <c r="E167" i="4"/>
  <c r="G167" i="4" s="1"/>
  <c r="E172" i="4"/>
  <c r="G172" i="4" s="1"/>
  <c r="G205" i="4"/>
  <c r="F221" i="4"/>
  <c r="G36" i="4"/>
  <c r="G53" i="4"/>
  <c r="G78" i="4"/>
  <c r="G92" i="4"/>
  <c r="E101" i="4"/>
  <c r="G101" i="4" s="1"/>
  <c r="E132" i="4"/>
  <c r="G132" i="4" s="1"/>
  <c r="G134" i="4"/>
  <c r="G188" i="4"/>
  <c r="F226" i="4"/>
  <c r="G91" i="4"/>
  <c r="G70" i="4"/>
  <c r="G223" i="4"/>
  <c r="G162" i="4"/>
  <c r="G127" i="4"/>
  <c r="G122" i="4"/>
  <c r="F247" i="4"/>
  <c r="F227" i="4"/>
  <c r="G238" i="4"/>
  <c r="E224" i="4"/>
  <c r="G224" i="4" s="1"/>
  <c r="G59" i="4"/>
  <c r="G22" i="4"/>
  <c r="E221" i="4"/>
  <c r="E202" i="4"/>
  <c r="G202" i="4" s="1"/>
  <c r="E206" i="4"/>
  <c r="G206" i="4" s="1"/>
  <c r="E213" i="4"/>
  <c r="G213" i="4" s="1"/>
  <c r="G23" i="4"/>
  <c r="E27" i="4"/>
  <c r="G35" i="4"/>
  <c r="G37" i="4"/>
  <c r="G66" i="4"/>
  <c r="G95" i="4"/>
  <c r="G99" i="4"/>
  <c r="G110" i="4"/>
  <c r="G119" i="4"/>
  <c r="G123" i="4"/>
  <c r="G138" i="4"/>
  <c r="G148" i="4"/>
  <c r="G159" i="4"/>
  <c r="G179" i="4"/>
  <c r="G183" i="4"/>
  <c r="F67" i="4"/>
  <c r="F217" i="4" s="1"/>
  <c r="G221" i="4" l="1"/>
  <c r="E67" i="4"/>
  <c r="G217" i="4" s="1"/>
  <c r="E220" i="4"/>
  <c r="G220" i="4" s="1"/>
  <c r="E247" i="4"/>
  <c r="G247" i="4" s="1"/>
  <c r="E227" i="4"/>
  <c r="G227" i="4" s="1"/>
  <c r="E226" i="4"/>
  <c r="G226" i="4" s="1"/>
  <c r="F231" i="4"/>
  <c r="E228" i="4"/>
  <c r="G228" i="4" s="1"/>
  <c r="G27" i="4"/>
  <c r="E222" i="4"/>
  <c r="G222" i="4" s="1"/>
  <c r="G67" i="4" l="1"/>
  <c r="E231" i="4"/>
  <c r="G231" i="4" s="1"/>
  <c r="D18" i="3"/>
  <c r="D22" i="3" l="1"/>
  <c r="K36" i="3"/>
  <c r="K37" i="3"/>
  <c r="K38" i="3"/>
  <c r="K39" i="3"/>
  <c r="K40" i="3"/>
  <c r="J40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21" i="3"/>
  <c r="D14" i="3" l="1"/>
  <c r="G40" i="3"/>
  <c r="H14" i="3"/>
  <c r="H15" i="3"/>
  <c r="H16" i="3"/>
  <c r="H17" i="3"/>
  <c r="H18" i="3"/>
  <c r="H19" i="3"/>
  <c r="H20" i="3"/>
  <c r="H22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D25" i="1"/>
  <c r="D15" i="3" l="1"/>
  <c r="C25" i="1" l="1"/>
  <c r="D48" i="1" l="1"/>
  <c r="M40" i="3" l="1"/>
  <c r="D40" i="3"/>
  <c r="N15" i="3"/>
  <c r="N16" i="3"/>
  <c r="N17" i="3"/>
  <c r="N18" i="3"/>
  <c r="N19" i="3"/>
  <c r="N20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14" i="3"/>
  <c r="C39" i="3"/>
  <c r="E39" i="3" s="1"/>
  <c r="C38" i="3"/>
  <c r="E38" i="3" s="1"/>
  <c r="C37" i="3"/>
  <c r="E37" i="3" s="1"/>
  <c r="F36" i="3"/>
  <c r="C35" i="3"/>
  <c r="E35" i="3" s="1"/>
  <c r="C34" i="3"/>
  <c r="E34" i="3" s="1"/>
  <c r="C33" i="3"/>
  <c r="E33" i="3" s="1"/>
  <c r="C32" i="3"/>
  <c r="E32" i="3" s="1"/>
  <c r="C31" i="3"/>
  <c r="E31" i="3" s="1"/>
  <c r="C30" i="3"/>
  <c r="E30" i="3" s="1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F23" i="3"/>
  <c r="H23" i="3" s="1"/>
  <c r="C22" i="3"/>
  <c r="E22" i="3" s="1"/>
  <c r="L21" i="3"/>
  <c r="I21" i="3"/>
  <c r="I40" i="3" s="1"/>
  <c r="F21" i="3"/>
  <c r="H21" i="3" s="1"/>
  <c r="C20" i="3"/>
  <c r="E20" i="3" s="1"/>
  <c r="C19" i="3"/>
  <c r="E19" i="3" s="1"/>
  <c r="C17" i="3"/>
  <c r="E17" i="3" s="1"/>
  <c r="C16" i="3"/>
  <c r="E16" i="3" s="1"/>
  <c r="C15" i="3"/>
  <c r="E15" i="3" s="1"/>
  <c r="C14" i="3"/>
  <c r="E14" i="3" s="1"/>
  <c r="F13" i="3"/>
  <c r="H13" i="3" s="1"/>
  <c r="C13" i="3"/>
  <c r="E13" i="3" s="1"/>
  <c r="C36" i="3" l="1"/>
  <c r="E36" i="3" s="1"/>
  <c r="H36" i="3"/>
  <c r="L40" i="3"/>
  <c r="N40" i="3" s="1"/>
  <c r="N21" i="3"/>
  <c r="F40" i="3"/>
  <c r="H40" i="3" s="1"/>
  <c r="C21" i="3"/>
  <c r="E21" i="3" s="1"/>
  <c r="C23" i="3"/>
  <c r="E23" i="3" s="1"/>
  <c r="C40" i="3" l="1"/>
  <c r="E40" i="3" s="1"/>
  <c r="E33" i="1" l="1"/>
  <c r="D38" i="1"/>
  <c r="C29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6" i="1"/>
  <c r="E47" i="1"/>
  <c r="E11" i="1"/>
  <c r="E44" i="1" l="1"/>
  <c r="C3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<sst xmlns="http://schemas.openxmlformats.org/spreadsheetml/2006/main" count="581" uniqueCount="271">
  <si>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</si>
  <si>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</si>
  <si>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</si>
  <si>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</si>
  <si>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</si>
  <si>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</si>
  <si>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</si>
  <si>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</si>
  <si>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</si>
  <si>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</si>
  <si>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</si>
  <si>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</si>
  <si>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</si>
  <si>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</si>
  <si>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</si>
  <si>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</si>
  <si>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</si>
  <si>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</si>
  <si>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</si>
  <si>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</si>
  <si>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</si>
  <si>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</si>
  <si>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</si>
  <si>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</si>
  <si>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</si>
  <si>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</si>
  <si>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</si>
  <si>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</si>
  <si>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</si>
  <si>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</si>
  <si>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</si>
  <si>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</si>
  <si>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</si>
  <si>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</si>
  <si>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</si>
  <si>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</si>
  <si>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</si>
  <si>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</si>
  <si>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</si>
  <si>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</si>
  <si>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</si>
  <si>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</si>
  <si>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</si>
  <si>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</si>
  <si>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</si>
  <si>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</si>
  <si>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</si>
  <si>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</si>
  <si>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</si>
  <si>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</si>
  <si>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</si>
  <si>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</si>
  <si>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</si>
  <si>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</si>
  <si>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</si>
  <si>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</si>
  <si>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</si>
  <si>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</si>
  <si>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</si>
  <si>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</si>
  <si>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</si>
  <si>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</si>
  <si>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</si>
  <si>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</si>
  <si>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</si>
  <si>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</si>
  <si>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</si>
  <si>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</si>
  <si>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</si>
  <si>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</si>
  <si>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</si>
  <si>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</si>
  <si>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</si>
  <si>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</si>
  <si>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</si>
  <si>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</si>
  <si>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</si>
  <si>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</si>
  <si>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</si>
  <si>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</si>
  <si>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</si>
  <si>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</si>
  <si>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</si>
  <si>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</si>
  <si>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</si>
  <si>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</si>
  <si>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</si>
  <si>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</si>
  <si>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</si>
  <si>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</si>
  <si>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</si>
  <si>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</si>
  <si>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</si>
  <si>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</si>
  <si>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</si>
  <si>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</si>
  <si>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</si>
  <si>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</si>
  <si>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</si>
  <si>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</si>
  <si>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</si>
  <si>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</si>
  <si>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</si>
  <si>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</si>
  <si>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</si>
  <si>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</si>
  <si>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</si>
  <si>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</si>
  <si>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</si>
  <si>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</si>
  <si>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</si>
  <si>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</si>
  <si>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</si>
  <si>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</si>
  <si>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</si>
  <si>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</si>
  <si>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</si>
  <si>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</si>
  <si>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</si>
  <si>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</si>
  <si>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</si>
  <si>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</si>
  <si>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</si>
  <si>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</si>
  <si>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</si>
  <si>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</si>
  <si>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</si>
  <si>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</si>
  <si>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</si>
  <si>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</si>
  <si>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</si>
  <si>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</si>
  <si>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</si>
  <si>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</si>
  <si>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</si>
  <si>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</si>
  <si>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</si>
  <si>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</si>
  <si>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</si>
  <si>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</si>
  <si>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</si>
  <si>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</si>
  <si>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</si>
  <si>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</si>
  <si>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</si>
  <si>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</si>
  <si>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</si>
  <si>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</si>
  <si>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</si>
  <si>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</si>
  <si>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</si>
  <si>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</si>
  <si>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</si>
  <si>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</si>
  <si>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</si>
  <si>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</si>
  <si>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</si>
  <si>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</si>
  <si>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</si>
  <si>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</si>
  <si>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</si>
  <si>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</si>
  <si>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</si>
  <si>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</si>
  <si>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</si>
  <si>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</si>
  <si>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</si>
  <si>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</si>
  <si>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</si>
  <si>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</si>
  <si>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</si>
  <si>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</si>
  <si>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</si>
  <si>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</si>
  <si>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</si>
  <si>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</si>
  <si>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</si>
  <si>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</si>
  <si>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</si>
  <si>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</si>
  <si>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</si>
  <si>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</si>
  <si>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</si>
  <si>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</si>
  <si>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</si>
  <si>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</si>
  <si>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</si>
  <si>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</si>
  <si>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</si>
  <si>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</si>
  <si>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</si>
  <si>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</si>
  <si>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</si>
  <si>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</si>
  <si>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</si>
  <si>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</si>
  <si>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</si>
  <si>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</si>
  <si>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</si>
  <si>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</si>
  <si>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</si>
  <si>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</si>
  <si>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</si>
  <si>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</si>
  <si>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</si>
  <si>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</si>
  <si>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</si>
  <si>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</si>
  <si>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</si>
  <si>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</si>
  <si>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</si>
  <si>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</si>
  <si>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</si>
  <si>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</si>
  <si>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</si>
  <si>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</si>
  <si>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</si>
  <si>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</si>
  <si>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</si>
  <si>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       2025 m. vasario 20 d. sprendimu Nr. T2-34</t>
  </si>
  <si>
    <t>8.4.</t>
  </si>
  <si>
    <t>Įstaigos pavadinimas</t>
  </si>
  <si>
    <t>Pajamos iš viso</t>
  </si>
  <si>
    <t>iš jų,</t>
  </si>
  <si>
    <t>pajamos už ilgalaikio ir trumpalaikio materialiojo turto nuomą (kodas 10)</t>
  </si>
  <si>
    <t>įmokos už išlaikymą švietimo, socialinės apsaugos ir kitose įstaigose (kodas 12)</t>
  </si>
  <si>
    <t>Kretingos rajono savivaldybės administracija</t>
  </si>
  <si>
    <t>Kretingos rajono kultūros centras</t>
  </si>
  <si>
    <t>Salantų kultūros centras</t>
  </si>
  <si>
    <t>Kretingos M. Valančiaus viešoji biblioteka</t>
  </si>
  <si>
    <t>Vyskupo M. Valančiaus gimtinės muziejus</t>
  </si>
  <si>
    <t>Kretingos muziejus</t>
  </si>
  <si>
    <t>J. Pabrėžos universitetinė gimnazija</t>
  </si>
  <si>
    <t>M. Daujoto progimnazija</t>
  </si>
  <si>
    <t xml:space="preserve">S. Daukanto progimnazija        </t>
  </si>
  <si>
    <t xml:space="preserve">Darbėnų gimnazija                  </t>
  </si>
  <si>
    <t xml:space="preserve">Salantų gimnazija               </t>
  </si>
  <si>
    <t>Vydmantų gimnazija</t>
  </si>
  <si>
    <t xml:space="preserve">Kūlupėnų M. Valančiaus pagrindinė mokykla       </t>
  </si>
  <si>
    <t xml:space="preserve">Kurmaičių pradinė mokykla               </t>
  </si>
  <si>
    <t>Kartenos mokykla-daugiafunkcis centras</t>
  </si>
  <si>
    <t xml:space="preserve">Jokūbavo A. Stulginskio mokykla-daugiafunkcis centras        </t>
  </si>
  <si>
    <t>Marijos Tiškevičiūtės mokykla</t>
  </si>
  <si>
    <t>Lopšelis-darželis "Pasaka"</t>
  </si>
  <si>
    <t>Mokykla-darželis "Žibutė"</t>
  </si>
  <si>
    <t>Lopšelis-darželis "Ąžuoliukas"</t>
  </si>
  <si>
    <t>Lopšelis-darželis "Žilvitis"</t>
  </si>
  <si>
    <t>Kretingos meno mokykla</t>
  </si>
  <si>
    <t>Salantų meno mokykla</t>
  </si>
  <si>
    <t xml:space="preserve">Kretingos sporto mokykla </t>
  </si>
  <si>
    <t>Kretingos rajono švietimo centras</t>
  </si>
  <si>
    <t>Dienos veiklos centras</t>
  </si>
  <si>
    <t>Kretingos socialinių paslaugų centras</t>
  </si>
  <si>
    <t>Iš viso:</t>
  </si>
  <si>
    <t>pajamos už prekes ir paslaugas (kodas 14)</t>
  </si>
  <si>
    <t xml:space="preserve">                                                                    2 priedas</t>
  </si>
  <si>
    <t xml:space="preserve">                                                                    (Kretingos rajono savivaldybės tarybos</t>
  </si>
  <si>
    <t xml:space="preserve">                                                                    2025 m. vasario 20 d. sprendimu Nr. T2-34</t>
  </si>
  <si>
    <t xml:space="preserve">                                                                    Kretingos rajono savivaldybės tarybos</t>
  </si>
  <si>
    <t xml:space="preserve">                                                                                          Projekto lyginamasis variantas</t>
  </si>
  <si>
    <t xml:space="preserve">              Kretingos rajono savivaldybės biudžetinių įstaigų 2025 m. pajamos</t>
  </si>
  <si>
    <t xml:space="preserve">      Projekto lyginamasis variantas</t>
  </si>
  <si>
    <t xml:space="preserve">                            Kretingos rajono savivaldybės 2025 m. biudžeto pajamos</t>
  </si>
  <si>
    <t xml:space="preserve">                                                      1 priedas</t>
  </si>
  <si>
    <t>Klaipėdos Ernesto Galvanausko profesinio mokymo centras</t>
  </si>
  <si>
    <t>Valstybės biudžeto lėšos (projektams vykdyti)</t>
  </si>
  <si>
    <t xml:space="preserve">                                                                              2025 m. lapkričio   d. sprendimo Nr. T2-  redakcija)</t>
  </si>
  <si>
    <t xml:space="preserve">                                                                    2025 m. lapkričio    d. sprendimo Nr. T2-   redakcija)</t>
  </si>
  <si>
    <t xml:space="preserve">                                                           2025 m. lapkričio   d. sprendimo Nr. T2-   redakcija)</t>
  </si>
  <si>
    <t>41.</t>
  </si>
  <si>
    <t>Kretingos rajono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</si>
</sst>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7030A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3" tint="0.39997558519241921"/>
      <name val="Calibri"/>
      <family val="2"/>
      <charset val="186"/>
      <scheme val="minor"/>
    </font>
    <font>
      <sz val="11"/>
      <color theme="9" tint="-0.249977111117893"/>
      <name val="Calibri"/>
      <family val="2"/>
      <charset val="186"/>
      <scheme val="minor"/>
    </font>
    <font>
      <sz val="11"/>
      <color theme="7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9" fillId="0" borderId="0"/>
    <xf numFmtId="0" fontId="16" fillId="0" borderId="0" applyNumberFormat="0"/>
    <xf numFmtId="0" fontId="17" fillId="0" borderId="0"/>
  </cellStyleXfs>
  <cellXfs count="322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49" fontId="5" fillId="0" borderId="12" xfId="0" applyNumberFormat="1" applyFont="1" applyBorder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1" fillId="0" borderId="2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26" xfId="0" applyFont="1" applyBorder="1" applyAlignment="1">
      <alignment wrapText="1"/>
    </xf>
    <xf numFmtId="0" fontId="5" fillId="0" borderId="26" xfId="0" applyFont="1" applyBorder="1"/>
    <xf numFmtId="0" fontId="5" fillId="3" borderId="26" xfId="4" applyFont="1" applyFill="1" applyBorder="1" applyAlignment="1">
      <alignment wrapText="1"/>
    </xf>
    <xf numFmtId="0" fontId="5" fillId="3" borderId="26" xfId="4" applyFont="1" applyFill="1" applyBorder="1" applyAlignment="1">
      <alignment vertical="top" wrapText="1"/>
    </xf>
    <xf numFmtId="0" fontId="8" fillId="0" borderId="24" xfId="0" applyFont="1" applyBorder="1" applyAlignment="1">
      <alignment vertical="center" wrapText="1"/>
    </xf>
    <xf numFmtId="0" fontId="5" fillId="3" borderId="26" xfId="4" applyFont="1" applyFill="1" applyBorder="1" applyAlignment="1"/>
    <xf numFmtId="0" fontId="8" fillId="0" borderId="0" xfId="0" applyFont="1" applyAlignment="1"/>
    <xf numFmtId="0" fontId="5" fillId="0" borderId="0" xfId="0" applyFont="1" applyAlignment="1">
      <alignment horizontal="right" vertical="top" wrapText="1"/>
    </xf>
    <xf numFmtId="0" fontId="1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top" wrapText="1"/>
    </xf>
    <xf numFmtId="3" fontId="5" fillId="0" borderId="2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3" fontId="5" fillId="0" borderId="2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3" fontId="8" fillId="0" borderId="22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34" xfId="0" applyFont="1" applyBorder="1"/>
    <xf numFmtId="3" fontId="8" fillId="0" borderId="14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3" fontId="5" fillId="4" borderId="12" xfId="3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3" fontId="5" fillId="4" borderId="2" xfId="3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4" borderId="46" xfId="3" applyNumberFormat="1" applyFont="1" applyFill="1" applyBorder="1" applyAlignment="1">
      <alignment horizontal="center" vertical="center"/>
    </xf>
    <xf numFmtId="3" fontId="5" fillId="4" borderId="12" xfId="0" applyNumberFormat="1" applyFont="1" applyFill="1" applyBorder="1" applyAlignment="1">
      <alignment horizontal="center" vertical="center"/>
    </xf>
    <xf numFmtId="3" fontId="8" fillId="4" borderId="44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54" xfId="0" applyFont="1" applyBorder="1" applyAlignment="1">
      <alignment vertical="center" wrapText="1"/>
    </xf>
    <xf numFmtId="3" fontId="5" fillId="0" borderId="27" xfId="0" applyNumberFormat="1" applyFont="1" applyBorder="1" applyAlignment="1">
      <alignment horizontal="center" vertical="center"/>
    </xf>
    <xf numFmtId="3" fontId="5" fillId="4" borderId="27" xfId="3" applyNumberFormat="1" applyFont="1" applyFill="1" applyBorder="1" applyAlignment="1">
      <alignment horizontal="center" vertic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/>
    </xf>
    <xf numFmtId="3" fontId="5" fillId="4" borderId="55" xfId="0" applyNumberFormat="1" applyFont="1" applyFill="1" applyBorder="1" applyAlignment="1">
      <alignment horizontal="center" vertical="center"/>
    </xf>
    <xf numFmtId="3" fontId="5" fillId="4" borderId="56" xfId="0" applyNumberFormat="1" applyFont="1" applyFill="1" applyBorder="1" applyAlignment="1">
      <alignment horizontal="center" vertical="center"/>
    </xf>
    <xf numFmtId="3" fontId="5" fillId="4" borderId="55" xfId="3" applyNumberFormat="1" applyFont="1" applyFill="1" applyBorder="1" applyAlignment="1">
      <alignment horizontal="center" vertical="center"/>
    </xf>
    <xf numFmtId="3" fontId="8" fillId="0" borderId="5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2" fillId="0" borderId="0" xfId="0" applyNumberFormat="1" applyFont="1"/>
    <xf numFmtId="3" fontId="0" fillId="0" borderId="0" xfId="0" applyNumberFormat="1" applyAlignment="1">
      <alignment horizontal="left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3" fontId="5" fillId="0" borderId="24" xfId="0" applyNumberFormat="1" applyFont="1" applyBorder="1" applyAlignment="1">
      <alignment horizontal="center" vertical="center"/>
    </xf>
    <xf numFmtId="3" fontId="23" fillId="0" borderId="0" xfId="0" applyNumberFormat="1" applyFont="1"/>
    <xf numFmtId="0" fontId="0" fillId="0" borderId="0" xfId="0" applyAlignment="1">
      <alignment horizontal="right"/>
    </xf>
    <xf numFmtId="3" fontId="24" fillId="0" borderId="0" xfId="0" applyNumberFormat="1" applyFont="1"/>
    <xf numFmtId="0" fontId="12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5" fillId="0" borderId="0" xfId="0" applyFont="1"/>
    <xf numFmtId="3" fontId="8" fillId="0" borderId="58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1" applyFont="1" applyFill="1" applyBorder="1" applyAlignment="1" applyProtection="1">
      <alignment horizontal="left" vertical="center" wrapText="1"/>
    </xf>
    <xf numFmtId="3" fontId="8" fillId="0" borderId="28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3" fontId="14" fillId="0" borderId="0" xfId="0" applyNumberFormat="1" applyFont="1"/>
    <xf numFmtId="3" fontId="0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0" fillId="0" borderId="0" xfId="0" applyFill="1" applyBorder="1"/>
    <xf numFmtId="18" fontId="0" fillId="0" borderId="0" xfId="0" applyNumberFormat="1"/>
    <xf numFmtId="3" fontId="8" fillId="0" borderId="2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" fontId="5" fillId="0" borderId="4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8" fillId="0" borderId="42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4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0" fontId="14" fillId="0" borderId="0" xfId="0" applyFont="1" applyBorder="1"/>
    <xf numFmtId="164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4" borderId="10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 wrapText="1"/>
    </xf>
    <xf numFmtId="0" fontId="8" fillId="4" borderId="49" xfId="3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5" fillId="0" borderId="29" xfId="0" quotePrefix="1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quotePrefix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8" fillId="0" borderId="59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5">
    <cellStyle name="Įprastas" xfId="0" builtinId="0"/>
    <cellStyle name="Įprastas 2" xfId="2"/>
    <cellStyle name="Įvestis" xfId="1" builtinId="20"/>
    <cellStyle name="Normal_Sheet1" xfId="3"/>
    <cellStyle name="Paprastas 2" xfId="4"/>
  </cellStyles>
  <dxfs count="27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zoomScaleNormal="100" workbookViewId="0">
      <selection activeCell="N52" sqref="N52"/>
    </sheetView>
  </sheetViews>
  <sheetFormatPr defaultRowHeight="15" x14ac:dyDescent="0.25"/>
  <cols>
    <col min="1" max="1" width="6.5703125" customWidth="1"/>
    <col min="2" max="2" width="50.140625" customWidth="1"/>
    <col min="3" max="3" width="12.5703125" customWidth="1"/>
    <col min="4" max="4" width="11" customWidth="1"/>
    <col min="5" max="5" width="10.28515625" customWidth="1"/>
    <col min="6" max="6" width="7" customWidth="1"/>
    <col min="7" max="7" width="7.5703125" customWidth="1"/>
    <col min="8" max="8" width="6" customWidth="1"/>
    <col min="9" max="9" width="6.5703125" customWidth="1"/>
    <col min="10" max="10" width="7.7109375" customWidth="1"/>
    <col min="11" max="11" width="5.85546875" customWidth="1"/>
  </cols>
  <sheetData>
    <row r="1" spans="1:11" ht="18.75" customHeight="1" x14ac:dyDescent="0.25">
      <c r="A1" s="1"/>
      <c r="B1" s="153"/>
      <c r="C1" s="154" t="s">
        <v>261</v>
      </c>
      <c r="D1" s="154"/>
      <c r="E1" s="154"/>
      <c r="F1" s="85"/>
      <c r="G1" s="85"/>
    </row>
    <row r="2" spans="1:11" ht="17.25" customHeight="1" x14ac:dyDescent="0.25">
      <c r="A2" s="1"/>
      <c r="B2" s="245" t="s">
        <v>215</v>
      </c>
      <c r="C2" s="245"/>
      <c r="D2" s="245"/>
      <c r="E2" s="245"/>
      <c r="F2" s="83"/>
      <c r="G2" s="83"/>
    </row>
    <row r="3" spans="1:11" x14ac:dyDescent="0.25">
      <c r="A3" s="1"/>
      <c r="B3" s="245" t="s">
        <v>219</v>
      </c>
      <c r="C3" s="245"/>
      <c r="D3" s="245"/>
      <c r="E3" s="245"/>
      <c r="F3" s="83"/>
      <c r="G3" s="83"/>
    </row>
    <row r="4" spans="1:11" x14ac:dyDescent="0.25">
      <c r="A4" s="1"/>
      <c r="B4" s="245" t="s">
        <v>216</v>
      </c>
      <c r="C4" s="245"/>
      <c r="D4" s="245"/>
      <c r="E4" s="245"/>
      <c r="F4" s="83"/>
      <c r="G4" s="83"/>
    </row>
    <row r="5" spans="1:11" x14ac:dyDescent="0.25">
      <c r="A5" s="1"/>
      <c r="B5" s="245" t="s">
        <v>266</v>
      </c>
      <c r="C5" s="245"/>
      <c r="D5" s="245"/>
      <c r="E5" s="245"/>
      <c r="F5" s="83"/>
      <c r="G5" s="83"/>
    </row>
    <row r="6" spans="1:11" x14ac:dyDescent="0.25">
      <c r="A6" s="1"/>
      <c r="B6" s="245" t="s">
        <v>263</v>
      </c>
      <c r="C6" s="245"/>
      <c r="D6" s="153"/>
      <c r="E6" s="153"/>
      <c r="F6" s="83"/>
      <c r="G6" s="83"/>
    </row>
    <row r="7" spans="1:11" x14ac:dyDescent="0.25">
      <c r="A7" s="3"/>
      <c r="B7" s="155"/>
      <c r="C7" s="156"/>
      <c r="D7" s="153"/>
      <c r="E7" s="153"/>
    </row>
    <row r="8" spans="1:11" ht="15.75" customHeight="1" x14ac:dyDescent="0.25">
      <c r="A8" s="246" t="s">
        <v>262</v>
      </c>
      <c r="B8" s="246"/>
      <c r="C8" s="246"/>
      <c r="D8" s="246"/>
    </row>
    <row r="9" spans="1:11" ht="19.5" thickBot="1" x14ac:dyDescent="0.35">
      <c r="A9" s="3"/>
      <c r="B9" s="6"/>
      <c r="C9" s="7"/>
      <c r="E9" s="62" t="s">
        <v>212</v>
      </c>
    </row>
    <row r="10" spans="1:11" ht="15.75" thickBot="1" x14ac:dyDescent="0.3">
      <c r="A10" s="134" t="s">
        <v>0</v>
      </c>
      <c r="B10" s="133" t="s">
        <v>1</v>
      </c>
      <c r="C10" s="133" t="s">
        <v>211</v>
      </c>
      <c r="D10" s="135" t="s">
        <v>209</v>
      </c>
      <c r="E10" s="136" t="s">
        <v>210</v>
      </c>
    </row>
    <row r="11" spans="1:11" x14ac:dyDescent="0.25">
      <c r="A11" s="137" t="s">
        <v>2</v>
      </c>
      <c r="B11" s="138" t="s">
        <v>3</v>
      </c>
      <c r="C11" s="139">
        <v>41059000</v>
      </c>
      <c r="D11" s="67"/>
      <c r="E11" s="68">
        <f>C11+D11</f>
        <v>41059000</v>
      </c>
    </row>
    <row r="12" spans="1:11" ht="24" x14ac:dyDescent="0.25">
      <c r="A12" s="80" t="s">
        <v>4</v>
      </c>
      <c r="B12" s="140" t="s">
        <v>5</v>
      </c>
      <c r="C12" s="141">
        <v>45000</v>
      </c>
      <c r="D12" s="69"/>
      <c r="E12" s="73">
        <f t="shared" ref="E12:E48" si="0">C12+D12</f>
        <v>45000</v>
      </c>
    </row>
    <row r="13" spans="1:11" x14ac:dyDescent="0.25">
      <c r="A13" s="80" t="s">
        <v>6</v>
      </c>
      <c r="B13" s="140" t="s">
        <v>7</v>
      </c>
      <c r="C13" s="141">
        <f>C14+C15+C16+C17</f>
        <v>2290000</v>
      </c>
      <c r="D13" s="69"/>
      <c r="E13" s="73">
        <f t="shared" si="0"/>
        <v>2290000</v>
      </c>
    </row>
    <row r="14" spans="1:11" x14ac:dyDescent="0.25">
      <c r="A14" s="80" t="s">
        <v>8</v>
      </c>
      <c r="B14" s="140" t="s">
        <v>9</v>
      </c>
      <c r="C14" s="141">
        <v>830000</v>
      </c>
      <c r="D14" s="69"/>
      <c r="E14" s="73">
        <f t="shared" si="0"/>
        <v>830000</v>
      </c>
    </row>
    <row r="15" spans="1:11" x14ac:dyDescent="0.25">
      <c r="A15" s="80" t="s">
        <v>10</v>
      </c>
      <c r="B15" s="140" t="s">
        <v>11</v>
      </c>
      <c r="C15" s="141">
        <v>10000</v>
      </c>
      <c r="D15" s="69"/>
      <c r="E15" s="73">
        <f t="shared" si="0"/>
        <v>10000</v>
      </c>
    </row>
    <row r="16" spans="1:11" x14ac:dyDescent="0.25">
      <c r="A16" s="80" t="s">
        <v>12</v>
      </c>
      <c r="B16" s="140" t="s">
        <v>13</v>
      </c>
      <c r="C16" s="141">
        <v>1300000</v>
      </c>
      <c r="D16" s="69"/>
      <c r="E16" s="73">
        <f t="shared" si="0"/>
        <v>1300000</v>
      </c>
      <c r="K16" s="81"/>
    </row>
    <row r="17" spans="1:6" x14ac:dyDescent="0.25">
      <c r="A17" s="80" t="s">
        <v>14</v>
      </c>
      <c r="B17" s="140" t="s">
        <v>15</v>
      </c>
      <c r="C17" s="141">
        <v>150000</v>
      </c>
      <c r="D17" s="69"/>
      <c r="E17" s="73">
        <f t="shared" si="0"/>
        <v>150000</v>
      </c>
    </row>
    <row r="18" spans="1:6" x14ac:dyDescent="0.25">
      <c r="A18" s="80" t="s">
        <v>16</v>
      </c>
      <c r="B18" s="140" t="s">
        <v>17</v>
      </c>
      <c r="C18" s="141">
        <f>C19+C20+C21</f>
        <v>110000</v>
      </c>
      <c r="D18" s="69"/>
      <c r="E18" s="73">
        <f t="shared" si="0"/>
        <v>110000</v>
      </c>
    </row>
    <row r="19" spans="1:6" x14ac:dyDescent="0.25">
      <c r="A19" s="80" t="s">
        <v>18</v>
      </c>
      <c r="B19" s="140" t="s">
        <v>19</v>
      </c>
      <c r="C19" s="141">
        <v>50000</v>
      </c>
      <c r="D19" s="69"/>
      <c r="E19" s="73">
        <f t="shared" si="0"/>
        <v>50000</v>
      </c>
    </row>
    <row r="20" spans="1:6" x14ac:dyDescent="0.25">
      <c r="A20" s="80" t="s">
        <v>20</v>
      </c>
      <c r="B20" s="140" t="s">
        <v>21</v>
      </c>
      <c r="C20" s="141">
        <v>40000</v>
      </c>
      <c r="D20" s="69"/>
      <c r="E20" s="73">
        <f t="shared" si="0"/>
        <v>40000</v>
      </c>
    </row>
    <row r="21" spans="1:6" x14ac:dyDescent="0.25">
      <c r="A21" s="80" t="s">
        <v>22</v>
      </c>
      <c r="B21" s="140" t="s">
        <v>23</v>
      </c>
      <c r="C21" s="141">
        <v>20000</v>
      </c>
      <c r="D21" s="69"/>
      <c r="E21" s="73">
        <f t="shared" si="0"/>
        <v>20000</v>
      </c>
    </row>
    <row r="22" spans="1:6" x14ac:dyDescent="0.25">
      <c r="A22" s="80" t="s">
        <v>24</v>
      </c>
      <c r="B22" s="140" t="s">
        <v>25</v>
      </c>
      <c r="C22" s="141">
        <f>C11+C12+C13+C18</f>
        <v>43504000</v>
      </c>
      <c r="D22" s="69"/>
      <c r="E22" s="73">
        <f t="shared" si="0"/>
        <v>43504000</v>
      </c>
    </row>
    <row r="23" spans="1:6" x14ac:dyDescent="0.25">
      <c r="A23" s="80" t="s">
        <v>26</v>
      </c>
      <c r="B23" s="140" t="s">
        <v>27</v>
      </c>
      <c r="C23" s="141">
        <v>2230000</v>
      </c>
      <c r="D23" s="69"/>
      <c r="E23" s="73">
        <f t="shared" si="0"/>
        <v>2230000</v>
      </c>
    </row>
    <row r="24" spans="1:6" x14ac:dyDescent="0.25">
      <c r="A24" s="80" t="s">
        <v>28</v>
      </c>
      <c r="B24" s="140" t="s">
        <v>29</v>
      </c>
      <c r="C24" s="141">
        <v>2200000</v>
      </c>
      <c r="D24" s="69"/>
      <c r="E24" s="73">
        <f t="shared" si="0"/>
        <v>2200000</v>
      </c>
    </row>
    <row r="25" spans="1:6" x14ac:dyDescent="0.25">
      <c r="A25" s="80" t="s">
        <v>30</v>
      </c>
      <c r="B25" s="140" t="s">
        <v>31</v>
      </c>
      <c r="C25" s="142">
        <f>C26+C27+C28</f>
        <v>2094800</v>
      </c>
      <c r="D25" s="142">
        <f>D27+D28+D26</f>
        <v>95600</v>
      </c>
      <c r="E25" s="73">
        <f t="shared" si="0"/>
        <v>2190400</v>
      </c>
    </row>
    <row r="26" spans="1:6" x14ac:dyDescent="0.25">
      <c r="A26" s="80" t="s">
        <v>32</v>
      </c>
      <c r="B26" s="140" t="s">
        <v>33</v>
      </c>
      <c r="C26" s="141">
        <v>225500</v>
      </c>
      <c r="D26" s="90"/>
      <c r="E26" s="73">
        <f t="shared" si="0"/>
        <v>225500</v>
      </c>
    </row>
    <row r="27" spans="1:6" x14ac:dyDescent="0.25">
      <c r="A27" s="80" t="s">
        <v>34</v>
      </c>
      <c r="B27" s="140" t="s">
        <v>35</v>
      </c>
      <c r="C27" s="141">
        <v>761300</v>
      </c>
      <c r="D27" s="90">
        <v>15600</v>
      </c>
      <c r="E27" s="73">
        <f t="shared" si="0"/>
        <v>776900</v>
      </c>
      <c r="F27" s="78"/>
    </row>
    <row r="28" spans="1:6" x14ac:dyDescent="0.25">
      <c r="A28" s="80" t="s">
        <v>36</v>
      </c>
      <c r="B28" s="140" t="s">
        <v>37</v>
      </c>
      <c r="C28" s="141">
        <v>1108000</v>
      </c>
      <c r="D28" s="90">
        <v>80000</v>
      </c>
      <c r="E28" s="73">
        <f t="shared" si="0"/>
        <v>1188000</v>
      </c>
      <c r="F28" s="78"/>
    </row>
    <row r="29" spans="1:6" x14ac:dyDescent="0.25">
      <c r="A29" s="80" t="s">
        <v>38</v>
      </c>
      <c r="B29" s="140" t="s">
        <v>39</v>
      </c>
      <c r="C29" s="141">
        <f>C30+C31+C32+C33</f>
        <v>152907</v>
      </c>
      <c r="D29" s="141"/>
      <c r="E29" s="73">
        <f t="shared" si="0"/>
        <v>152907</v>
      </c>
    </row>
    <row r="30" spans="1:6" x14ac:dyDescent="0.25">
      <c r="A30" s="80" t="s">
        <v>40</v>
      </c>
      <c r="B30" s="140" t="s">
        <v>41</v>
      </c>
      <c r="C30" s="141">
        <v>92000</v>
      </c>
      <c r="D30" s="69"/>
      <c r="E30" s="73">
        <f t="shared" si="0"/>
        <v>92000</v>
      </c>
    </row>
    <row r="31" spans="1:6" x14ac:dyDescent="0.25">
      <c r="A31" s="80" t="s">
        <v>42</v>
      </c>
      <c r="B31" s="140" t="s">
        <v>43</v>
      </c>
      <c r="C31" s="141">
        <v>30000</v>
      </c>
      <c r="D31" s="69"/>
      <c r="E31" s="73">
        <f t="shared" si="0"/>
        <v>30000</v>
      </c>
    </row>
    <row r="32" spans="1:6" x14ac:dyDescent="0.25">
      <c r="A32" s="80" t="s">
        <v>44</v>
      </c>
      <c r="B32" s="140" t="s">
        <v>45</v>
      </c>
      <c r="C32" s="141">
        <v>30000</v>
      </c>
      <c r="D32" s="69"/>
      <c r="E32" s="73">
        <f t="shared" si="0"/>
        <v>30000</v>
      </c>
    </row>
    <row r="33" spans="1:12" x14ac:dyDescent="0.25">
      <c r="A33" s="80" t="s">
        <v>220</v>
      </c>
      <c r="B33" s="140" t="s">
        <v>23</v>
      </c>
      <c r="C33" s="141">
        <v>907</v>
      </c>
      <c r="D33" s="69"/>
      <c r="E33" s="73">
        <f t="shared" si="0"/>
        <v>907</v>
      </c>
    </row>
    <row r="34" spans="1:12" x14ac:dyDescent="0.25">
      <c r="A34" s="80" t="s">
        <v>46</v>
      </c>
      <c r="B34" s="140" t="s">
        <v>47</v>
      </c>
      <c r="C34" s="141">
        <v>79000</v>
      </c>
      <c r="D34" s="69"/>
      <c r="E34" s="73">
        <f t="shared" si="0"/>
        <v>79000</v>
      </c>
    </row>
    <row r="35" spans="1:12" x14ac:dyDescent="0.25">
      <c r="A35" s="80" t="s">
        <v>48</v>
      </c>
      <c r="B35" s="140" t="s">
        <v>49</v>
      </c>
      <c r="C35" s="141">
        <f>C36+C37</f>
        <v>226000</v>
      </c>
      <c r="D35" s="69"/>
      <c r="E35" s="73">
        <f t="shared" si="0"/>
        <v>226000</v>
      </c>
    </row>
    <row r="36" spans="1:12" x14ac:dyDescent="0.25">
      <c r="A36" s="80" t="s">
        <v>50</v>
      </c>
      <c r="B36" s="140" t="s">
        <v>51</v>
      </c>
      <c r="C36" s="141">
        <v>126000</v>
      </c>
      <c r="D36" s="69"/>
      <c r="E36" s="73">
        <f t="shared" si="0"/>
        <v>126000</v>
      </c>
    </row>
    <row r="37" spans="1:12" x14ac:dyDescent="0.25">
      <c r="A37" s="80" t="s">
        <v>52</v>
      </c>
      <c r="B37" s="140" t="s">
        <v>53</v>
      </c>
      <c r="C37" s="141">
        <v>100000</v>
      </c>
      <c r="D37" s="69"/>
      <c r="E37" s="73">
        <f t="shared" si="0"/>
        <v>100000</v>
      </c>
    </row>
    <row r="38" spans="1:12" x14ac:dyDescent="0.25">
      <c r="A38" s="80" t="s">
        <v>54</v>
      </c>
      <c r="B38" s="140" t="s">
        <v>55</v>
      </c>
      <c r="C38" s="142">
        <f>C22+C23+C25+C29+C34+C35</f>
        <v>48286707</v>
      </c>
      <c r="D38" s="142">
        <f>D22+D23+D25+D29+D34+D35</f>
        <v>95600</v>
      </c>
      <c r="E38" s="73">
        <f t="shared" si="0"/>
        <v>48382307</v>
      </c>
    </row>
    <row r="39" spans="1:12" ht="24" x14ac:dyDescent="0.25">
      <c r="A39" s="80" t="s">
        <v>56</v>
      </c>
      <c r="B39" s="140" t="s">
        <v>57</v>
      </c>
      <c r="C39" s="143">
        <v>4971597</v>
      </c>
      <c r="D39" s="90">
        <v>191700</v>
      </c>
      <c r="E39" s="73">
        <f t="shared" si="0"/>
        <v>5163297</v>
      </c>
      <c r="F39" s="185"/>
      <c r="G39" s="185"/>
      <c r="H39" s="185"/>
      <c r="I39" s="185"/>
      <c r="J39" s="206"/>
    </row>
    <row r="40" spans="1:12" x14ac:dyDescent="0.25">
      <c r="A40" s="80" t="s">
        <v>58</v>
      </c>
      <c r="B40" s="140" t="s">
        <v>59</v>
      </c>
      <c r="C40" s="144">
        <v>21593899</v>
      </c>
      <c r="D40" s="69"/>
      <c r="E40" s="73">
        <f t="shared" si="0"/>
        <v>21593899</v>
      </c>
      <c r="F40" s="78"/>
      <c r="G40" s="78"/>
      <c r="H40" s="78"/>
      <c r="I40" s="201"/>
      <c r="J40" s="201"/>
    </row>
    <row r="41" spans="1:12" ht="24" x14ac:dyDescent="0.25">
      <c r="A41" s="145" t="s">
        <v>60</v>
      </c>
      <c r="B41" s="146" t="s">
        <v>61</v>
      </c>
      <c r="C41" s="144">
        <v>2373224</v>
      </c>
      <c r="D41" s="90">
        <v>5194</v>
      </c>
      <c r="E41" s="73">
        <f t="shared" si="0"/>
        <v>2378418</v>
      </c>
      <c r="F41" s="186"/>
      <c r="G41" s="186"/>
      <c r="H41" s="186"/>
      <c r="I41" s="186"/>
      <c r="J41" s="200"/>
      <c r="K41" s="217"/>
      <c r="L41" s="87"/>
    </row>
    <row r="42" spans="1:12" ht="17.25" customHeight="1" x14ac:dyDescent="0.25">
      <c r="A42" s="80" t="s">
        <v>62</v>
      </c>
      <c r="B42" s="140" t="s">
        <v>63</v>
      </c>
      <c r="C42" s="142">
        <v>2390900</v>
      </c>
      <c r="D42" s="90"/>
      <c r="E42" s="73">
        <f t="shared" si="0"/>
        <v>2390900</v>
      </c>
      <c r="F42" s="86"/>
      <c r="G42" s="86"/>
      <c r="H42" s="86"/>
      <c r="I42" s="86"/>
      <c r="J42" s="88"/>
      <c r="K42" s="88"/>
      <c r="L42" s="88"/>
    </row>
    <row r="43" spans="1:12" ht="24" x14ac:dyDescent="0.25">
      <c r="A43" s="80" t="s">
        <v>64</v>
      </c>
      <c r="B43" s="140" t="s">
        <v>65</v>
      </c>
      <c r="C43" s="142">
        <v>3452429</v>
      </c>
      <c r="D43" s="90">
        <v>22219</v>
      </c>
      <c r="E43" s="73">
        <f t="shared" si="0"/>
        <v>3474648</v>
      </c>
      <c r="F43" s="186"/>
      <c r="G43" s="186"/>
      <c r="H43" s="92"/>
      <c r="I43" s="86"/>
      <c r="J43" s="89"/>
      <c r="K43" s="88"/>
      <c r="L43" s="88"/>
    </row>
    <row r="44" spans="1:12" x14ac:dyDescent="0.25">
      <c r="A44" s="80" t="s">
        <v>66</v>
      </c>
      <c r="B44" s="140" t="s">
        <v>67</v>
      </c>
      <c r="C44" s="141">
        <f>C39+C40+C41+C42+C43</f>
        <v>34782049</v>
      </c>
      <c r="D44" s="141">
        <f>D39+D40+D41+D42+D43</f>
        <v>219113</v>
      </c>
      <c r="E44" s="73">
        <f t="shared" si="0"/>
        <v>35001162</v>
      </c>
    </row>
    <row r="45" spans="1:12" x14ac:dyDescent="0.25">
      <c r="A45" s="80" t="s">
        <v>68</v>
      </c>
      <c r="B45" s="140" t="s">
        <v>69</v>
      </c>
      <c r="C45" s="142">
        <f>C38+C44</f>
        <v>83068756</v>
      </c>
      <c r="D45" s="142">
        <f>D38+D44</f>
        <v>314713</v>
      </c>
      <c r="E45" s="73">
        <f t="shared" si="0"/>
        <v>83383469</v>
      </c>
    </row>
    <row r="46" spans="1:12" x14ac:dyDescent="0.25">
      <c r="A46" s="80" t="s">
        <v>70</v>
      </c>
      <c r="B46" s="140" t="s">
        <v>71</v>
      </c>
      <c r="C46" s="141">
        <v>1760000</v>
      </c>
      <c r="D46" s="69"/>
      <c r="E46" s="73">
        <f t="shared" si="0"/>
        <v>1760000</v>
      </c>
    </row>
    <row r="47" spans="1:12" ht="15.75" thickBot="1" x14ac:dyDescent="0.3">
      <c r="A47" s="147" t="s">
        <v>72</v>
      </c>
      <c r="B47" s="148" t="s">
        <v>73</v>
      </c>
      <c r="C47" s="149">
        <v>4756888</v>
      </c>
      <c r="D47" s="70"/>
      <c r="E47" s="74">
        <f t="shared" si="0"/>
        <v>4756888</v>
      </c>
    </row>
    <row r="48" spans="1:12" ht="15.75" thickBot="1" x14ac:dyDescent="0.3">
      <c r="A48" s="150" t="s">
        <v>74</v>
      </c>
      <c r="B48" s="151" t="s">
        <v>75</v>
      </c>
      <c r="C48" s="152">
        <f>C45+C46+C47</f>
        <v>89585644</v>
      </c>
      <c r="D48" s="152">
        <f>D45+D46+D47</f>
        <v>314713</v>
      </c>
      <c r="E48" s="72">
        <f t="shared" si="0"/>
        <v>89900357</v>
      </c>
    </row>
    <row r="51" spans="2:2" x14ac:dyDescent="0.25">
      <c r="B51" s="78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7"/>
  <sheetViews>
    <sheetView topLeftCell="A25" zoomScaleNormal="100" workbookViewId="0">
      <selection activeCell="T16" sqref="T16"/>
    </sheetView>
  </sheetViews>
  <sheetFormatPr defaultRowHeight="15" x14ac:dyDescent="0.25"/>
  <cols>
    <col min="1" max="1" width="4" customWidth="1"/>
    <col min="2" max="2" width="14.5703125" customWidth="1"/>
    <col min="3" max="3" width="8.140625" customWidth="1"/>
    <col min="4" max="4" width="7.7109375" customWidth="1"/>
    <col min="5" max="5" width="8.7109375" customWidth="1"/>
    <col min="6" max="6" width="8.85546875" customWidth="1"/>
    <col min="7" max="7" width="7.7109375" customWidth="1"/>
    <col min="8" max="8" width="8.5703125" customWidth="1"/>
    <col min="9" max="9" width="8.85546875" customWidth="1"/>
    <col min="10" max="10" width="7.7109375" customWidth="1"/>
    <col min="11" max="11" width="7.85546875" customWidth="1"/>
    <col min="12" max="12" width="8.7109375" customWidth="1"/>
    <col min="13" max="13" width="7.7109375" customWidth="1"/>
    <col min="14" max="14" width="8" customWidth="1"/>
  </cols>
  <sheetData>
    <row r="1" spans="1:20" ht="17.25" customHeight="1" x14ac:dyDescent="0.25">
      <c r="A1" s="8"/>
      <c r="C1" s="126" t="s">
        <v>259</v>
      </c>
      <c r="D1" s="126"/>
      <c r="E1" s="126"/>
      <c r="F1" s="126"/>
      <c r="G1" s="126"/>
      <c r="H1" s="126"/>
      <c r="I1" s="126"/>
      <c r="J1" s="126"/>
      <c r="K1" s="126"/>
      <c r="L1" s="127"/>
      <c r="M1" s="127"/>
      <c r="N1" s="128"/>
    </row>
    <row r="2" spans="1:20" ht="14.25" customHeight="1" x14ac:dyDescent="0.25">
      <c r="A2" s="8"/>
      <c r="B2" s="4" t="s">
        <v>258</v>
      </c>
      <c r="C2" s="129"/>
      <c r="D2" s="129"/>
      <c r="E2" s="129"/>
      <c r="F2" s="128"/>
      <c r="G2" s="128"/>
      <c r="H2" s="128"/>
      <c r="I2" s="128"/>
      <c r="J2" s="128"/>
      <c r="K2" s="128"/>
      <c r="L2" s="130"/>
      <c r="M2" s="130"/>
      <c r="N2" s="128"/>
    </row>
    <row r="3" spans="1:20" ht="15.75" customHeight="1" x14ac:dyDescent="0.25">
      <c r="A3" s="8"/>
      <c r="B3" s="4" t="s">
        <v>257</v>
      </c>
      <c r="C3" s="129"/>
      <c r="D3" s="129"/>
      <c r="E3" s="129"/>
      <c r="F3" s="128"/>
      <c r="G3" s="128"/>
      <c r="H3" s="128"/>
      <c r="I3" s="128"/>
      <c r="J3" s="128"/>
      <c r="K3" s="128"/>
      <c r="L3" s="130"/>
      <c r="M3" s="130"/>
      <c r="N3" s="128"/>
    </row>
    <row r="4" spans="1:20" ht="15.75" customHeight="1" x14ac:dyDescent="0.25">
      <c r="A4" s="8"/>
      <c r="B4" s="4" t="s">
        <v>256</v>
      </c>
      <c r="C4" s="129"/>
      <c r="D4" s="129"/>
      <c r="E4" s="129"/>
      <c r="F4" s="128"/>
      <c r="G4" s="128"/>
      <c r="H4" s="128"/>
      <c r="I4" s="128"/>
      <c r="J4" s="128"/>
      <c r="K4" s="128"/>
      <c r="L4" s="130"/>
      <c r="M4" s="130"/>
      <c r="N4" s="128"/>
    </row>
    <row r="5" spans="1:20" ht="15.75" customHeight="1" x14ac:dyDescent="0.25">
      <c r="A5" s="8"/>
      <c r="B5" s="4" t="s">
        <v>267</v>
      </c>
      <c r="C5" s="129"/>
      <c r="D5" s="129"/>
      <c r="E5" s="129"/>
      <c r="F5" s="128"/>
      <c r="G5" s="128"/>
      <c r="H5" s="128"/>
      <c r="I5" s="128"/>
      <c r="J5" s="128"/>
      <c r="K5" s="128"/>
      <c r="L5" s="130"/>
      <c r="M5" s="130"/>
      <c r="N5" s="128"/>
    </row>
    <row r="6" spans="1:20" ht="15.75" customHeight="1" x14ac:dyDescent="0.25">
      <c r="A6" s="8"/>
      <c r="B6" s="4" t="s">
        <v>255</v>
      </c>
      <c r="C6" s="129"/>
      <c r="D6" s="129"/>
      <c r="E6" s="129"/>
      <c r="F6" s="128"/>
      <c r="G6" s="128"/>
      <c r="H6" s="128"/>
      <c r="I6" s="128"/>
      <c r="J6" s="128"/>
      <c r="K6" s="128"/>
      <c r="L6" s="130"/>
      <c r="M6" s="130"/>
      <c r="N6" s="128"/>
    </row>
    <row r="7" spans="1:20" ht="15.75" customHeight="1" x14ac:dyDescent="0.25">
      <c r="A7" s="8"/>
      <c r="B7" s="9"/>
      <c r="C7" s="9"/>
      <c r="D7" s="9"/>
      <c r="E7" s="9"/>
      <c r="F7" s="131"/>
      <c r="G7" s="131"/>
      <c r="H7" s="131"/>
      <c r="I7" s="131"/>
      <c r="J7" s="131"/>
      <c r="K7" s="131"/>
      <c r="L7" s="128"/>
      <c r="M7" s="128"/>
      <c r="N7" s="128"/>
    </row>
    <row r="8" spans="1:20" ht="15.75" customHeight="1" x14ac:dyDescent="0.25">
      <c r="A8" s="246" t="s">
        <v>260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</row>
    <row r="9" spans="1:20" ht="15.75" thickBot="1" x14ac:dyDescent="0.3">
      <c r="A9" s="8"/>
      <c r="B9" s="11"/>
      <c r="C9" s="11"/>
      <c r="D9" s="11"/>
      <c r="E9" s="11"/>
      <c r="F9" s="10"/>
      <c r="G9" s="10"/>
      <c r="H9" s="10"/>
      <c r="I9" s="9"/>
      <c r="J9" s="9"/>
      <c r="K9" s="9"/>
      <c r="M9" s="62"/>
      <c r="N9" s="132" t="s">
        <v>212</v>
      </c>
    </row>
    <row r="10" spans="1:20" ht="16.5" customHeight="1" thickBot="1" x14ac:dyDescent="0.3">
      <c r="A10" s="248" t="s">
        <v>0</v>
      </c>
      <c r="B10" s="272" t="s">
        <v>221</v>
      </c>
      <c r="C10" s="274" t="s">
        <v>222</v>
      </c>
      <c r="D10" s="259" t="s">
        <v>209</v>
      </c>
      <c r="E10" s="261" t="s">
        <v>210</v>
      </c>
      <c r="F10" s="263" t="s">
        <v>223</v>
      </c>
      <c r="G10" s="264"/>
      <c r="H10" s="264"/>
      <c r="I10" s="265"/>
      <c r="J10" s="265"/>
      <c r="K10" s="265"/>
      <c r="L10" s="266"/>
      <c r="M10" s="266"/>
      <c r="N10" s="267"/>
      <c r="O10" s="95"/>
      <c r="P10" s="95"/>
      <c r="Q10" s="95"/>
      <c r="R10" s="95"/>
      <c r="S10" s="95"/>
      <c r="T10" s="95"/>
    </row>
    <row r="11" spans="1:20" ht="39.75" customHeight="1" x14ac:dyDescent="0.25">
      <c r="A11" s="271"/>
      <c r="B11" s="273"/>
      <c r="C11" s="275"/>
      <c r="D11" s="260"/>
      <c r="E11" s="262"/>
      <c r="F11" s="248" t="s">
        <v>224</v>
      </c>
      <c r="G11" s="249"/>
      <c r="H11" s="250"/>
      <c r="I11" s="276" t="s">
        <v>225</v>
      </c>
      <c r="J11" s="277"/>
      <c r="K11" s="278"/>
      <c r="L11" s="268" t="s">
        <v>254</v>
      </c>
      <c r="M11" s="269"/>
      <c r="N11" s="270"/>
      <c r="O11" s="95"/>
      <c r="P11" s="95"/>
      <c r="Q11" s="95"/>
      <c r="R11" s="95"/>
      <c r="S11" s="95"/>
      <c r="T11" s="95"/>
    </row>
    <row r="12" spans="1:20" ht="82.5" customHeight="1" x14ac:dyDescent="0.25">
      <c r="A12" s="271"/>
      <c r="B12" s="273"/>
      <c r="C12" s="275"/>
      <c r="D12" s="260"/>
      <c r="E12" s="262"/>
      <c r="F12" s="168" t="s">
        <v>211</v>
      </c>
      <c r="G12" s="124" t="s">
        <v>209</v>
      </c>
      <c r="H12" s="159" t="s">
        <v>210</v>
      </c>
      <c r="I12" s="168" t="s">
        <v>211</v>
      </c>
      <c r="J12" s="124" t="s">
        <v>209</v>
      </c>
      <c r="K12" s="159" t="s">
        <v>210</v>
      </c>
      <c r="L12" s="187" t="s">
        <v>211</v>
      </c>
      <c r="M12" s="124" t="s">
        <v>209</v>
      </c>
      <c r="N12" s="159" t="s">
        <v>210</v>
      </c>
      <c r="O12" s="95"/>
      <c r="P12" s="95"/>
      <c r="Q12" s="95"/>
      <c r="R12" s="95"/>
      <c r="S12" s="247"/>
      <c r="T12" s="95"/>
    </row>
    <row r="13" spans="1:20" ht="36.75" x14ac:dyDescent="0.25">
      <c r="A13" s="160" t="s">
        <v>2</v>
      </c>
      <c r="B13" s="120" t="s">
        <v>226</v>
      </c>
      <c r="C13" s="167">
        <f>F13+L13</f>
        <v>82800</v>
      </c>
      <c r="D13" s="157"/>
      <c r="E13" s="48">
        <f>C13+D13</f>
        <v>82800</v>
      </c>
      <c r="F13" s="169">
        <f>10800+72000</f>
        <v>82800</v>
      </c>
      <c r="G13" s="179"/>
      <c r="H13" s="181">
        <f>F13+G13</f>
        <v>82800</v>
      </c>
      <c r="I13" s="190"/>
      <c r="J13" s="157"/>
      <c r="K13" s="191"/>
      <c r="L13" s="188"/>
      <c r="M13" s="90"/>
      <c r="N13" s="161"/>
      <c r="O13" s="95"/>
      <c r="P13" s="95"/>
      <c r="Q13" s="95"/>
      <c r="R13" s="95"/>
      <c r="S13" s="247"/>
      <c r="T13" s="95"/>
    </row>
    <row r="14" spans="1:20" ht="24.75" x14ac:dyDescent="0.25">
      <c r="A14" s="160" t="s">
        <v>4</v>
      </c>
      <c r="B14" s="120" t="s">
        <v>227</v>
      </c>
      <c r="C14" s="167">
        <f>F14+I14+L14</f>
        <v>89000</v>
      </c>
      <c r="D14" s="157">
        <f>G14+M14</f>
        <v>0</v>
      </c>
      <c r="E14" s="48">
        <f t="shared" ref="E14:E40" si="0">C14+D14</f>
        <v>89000</v>
      </c>
      <c r="F14" s="169">
        <v>34000</v>
      </c>
      <c r="G14" s="179"/>
      <c r="H14" s="181">
        <f t="shared" ref="H14:H40" si="1">F14+G14</f>
        <v>34000</v>
      </c>
      <c r="I14" s="190"/>
      <c r="J14" s="157"/>
      <c r="K14" s="191"/>
      <c r="L14" s="188">
        <v>55000</v>
      </c>
      <c r="M14" s="90"/>
      <c r="N14" s="73">
        <f>L14+M14</f>
        <v>55000</v>
      </c>
      <c r="O14" s="95"/>
      <c r="P14" s="95"/>
      <c r="Q14" s="95"/>
      <c r="R14" s="95"/>
      <c r="S14" s="95"/>
      <c r="T14" s="95"/>
    </row>
    <row r="15" spans="1:20" ht="24.75" x14ac:dyDescent="0.25">
      <c r="A15" s="160" t="s">
        <v>6</v>
      </c>
      <c r="B15" s="120" t="s">
        <v>228</v>
      </c>
      <c r="C15" s="167">
        <f>F15+I15+L15</f>
        <v>17900</v>
      </c>
      <c r="D15" s="157">
        <f>M15</f>
        <v>0</v>
      </c>
      <c r="E15" s="48">
        <f t="shared" si="0"/>
        <v>17900</v>
      </c>
      <c r="F15" s="169"/>
      <c r="G15" s="179"/>
      <c r="H15" s="181">
        <f t="shared" si="1"/>
        <v>0</v>
      </c>
      <c r="I15" s="190"/>
      <c r="J15" s="157"/>
      <c r="K15" s="191"/>
      <c r="L15" s="188">
        <v>17900</v>
      </c>
      <c r="M15" s="157"/>
      <c r="N15" s="73">
        <f t="shared" ref="N15:N40" si="2">L15+M15</f>
        <v>17900</v>
      </c>
      <c r="O15" s="95"/>
      <c r="P15" s="95"/>
      <c r="Q15" s="95"/>
      <c r="R15" s="95"/>
      <c r="S15" s="95"/>
      <c r="T15" s="95"/>
    </row>
    <row r="16" spans="1:20" ht="36.75" x14ac:dyDescent="0.25">
      <c r="A16" s="160" t="s">
        <v>16</v>
      </c>
      <c r="B16" s="120" t="s">
        <v>229</v>
      </c>
      <c r="C16" s="167">
        <f>F16+I16+L16</f>
        <v>19000</v>
      </c>
      <c r="D16" s="157"/>
      <c r="E16" s="48">
        <f t="shared" si="0"/>
        <v>19000</v>
      </c>
      <c r="F16" s="169">
        <v>12000</v>
      </c>
      <c r="G16" s="179"/>
      <c r="H16" s="181">
        <f t="shared" si="1"/>
        <v>12000</v>
      </c>
      <c r="I16" s="190"/>
      <c r="J16" s="157"/>
      <c r="K16" s="191"/>
      <c r="L16" s="188">
        <v>7000</v>
      </c>
      <c r="M16" s="157"/>
      <c r="N16" s="73">
        <f t="shared" si="2"/>
        <v>7000</v>
      </c>
      <c r="O16" s="95"/>
      <c r="P16" s="95"/>
      <c r="Q16" s="95"/>
      <c r="R16" s="95"/>
      <c r="S16" s="95"/>
      <c r="T16" s="95"/>
    </row>
    <row r="17" spans="1:20" ht="36.75" x14ac:dyDescent="0.25">
      <c r="A17" s="160" t="s">
        <v>24</v>
      </c>
      <c r="B17" s="120" t="s">
        <v>230</v>
      </c>
      <c r="C17" s="167">
        <f>F17+I17+L17</f>
        <v>2100</v>
      </c>
      <c r="D17" s="157"/>
      <c r="E17" s="48">
        <f t="shared" si="0"/>
        <v>2100</v>
      </c>
      <c r="F17" s="169"/>
      <c r="G17" s="179"/>
      <c r="H17" s="181">
        <f t="shared" si="1"/>
        <v>0</v>
      </c>
      <c r="I17" s="190"/>
      <c r="J17" s="157"/>
      <c r="K17" s="191"/>
      <c r="L17" s="188">
        <v>2100</v>
      </c>
      <c r="M17" s="157"/>
      <c r="N17" s="73">
        <f t="shared" si="2"/>
        <v>2100</v>
      </c>
      <c r="O17" s="95"/>
      <c r="P17" s="95"/>
      <c r="Q17" s="95"/>
      <c r="R17" s="95"/>
      <c r="S17" s="95"/>
      <c r="T17" s="95"/>
    </row>
    <row r="18" spans="1:20" x14ac:dyDescent="0.25">
      <c r="A18" s="160" t="s">
        <v>26</v>
      </c>
      <c r="B18" s="121" t="s">
        <v>231</v>
      </c>
      <c r="C18" s="167">
        <v>331800</v>
      </c>
      <c r="D18" s="157">
        <f>G18+J18+M18</f>
        <v>80000</v>
      </c>
      <c r="E18" s="48">
        <f>C18+D18</f>
        <v>411800</v>
      </c>
      <c r="F18" s="169">
        <v>9000</v>
      </c>
      <c r="G18" s="179"/>
      <c r="H18" s="181">
        <f t="shared" si="1"/>
        <v>9000</v>
      </c>
      <c r="I18" s="190"/>
      <c r="J18" s="157"/>
      <c r="K18" s="191"/>
      <c r="L18" s="188">
        <v>322800</v>
      </c>
      <c r="M18" s="157">
        <v>80000</v>
      </c>
      <c r="N18" s="73">
        <f t="shared" si="2"/>
        <v>402800</v>
      </c>
      <c r="O18" s="95"/>
      <c r="P18" s="95"/>
      <c r="Q18" s="95"/>
      <c r="R18" s="95"/>
      <c r="S18" s="95"/>
      <c r="T18" s="95"/>
    </row>
    <row r="19" spans="1:20" ht="36.75" x14ac:dyDescent="0.25">
      <c r="A19" s="160" t="s">
        <v>30</v>
      </c>
      <c r="B19" s="122" t="s">
        <v>232</v>
      </c>
      <c r="C19" s="167">
        <f t="shared" ref="C19:C40" si="3">F19+I19+L19</f>
        <v>14000</v>
      </c>
      <c r="D19" s="157"/>
      <c r="E19" s="48">
        <f t="shared" si="0"/>
        <v>14000</v>
      </c>
      <c r="F19" s="167">
        <v>13000</v>
      </c>
      <c r="G19" s="157"/>
      <c r="H19" s="181">
        <f t="shared" si="1"/>
        <v>13000</v>
      </c>
      <c r="I19" s="192"/>
      <c r="J19" s="180"/>
      <c r="K19" s="193"/>
      <c r="L19" s="188">
        <v>1000</v>
      </c>
      <c r="M19" s="157"/>
      <c r="N19" s="73">
        <f t="shared" si="2"/>
        <v>1000</v>
      </c>
      <c r="O19" s="95"/>
      <c r="P19" s="95"/>
      <c r="Q19" s="95"/>
      <c r="R19" s="95"/>
      <c r="S19" s="95"/>
      <c r="T19" s="95"/>
    </row>
    <row r="20" spans="1:20" ht="24.75" x14ac:dyDescent="0.25">
      <c r="A20" s="160" t="s">
        <v>38</v>
      </c>
      <c r="B20" s="122" t="s">
        <v>233</v>
      </c>
      <c r="C20" s="167">
        <f t="shared" si="3"/>
        <v>5700</v>
      </c>
      <c r="D20" s="157"/>
      <c r="E20" s="48">
        <f t="shared" si="0"/>
        <v>5700</v>
      </c>
      <c r="F20" s="167">
        <v>5100</v>
      </c>
      <c r="G20" s="157"/>
      <c r="H20" s="181">
        <f t="shared" si="1"/>
        <v>5100</v>
      </c>
      <c r="I20" s="190"/>
      <c r="J20" s="157"/>
      <c r="K20" s="191"/>
      <c r="L20" s="188">
        <v>600</v>
      </c>
      <c r="M20" s="157"/>
      <c r="N20" s="73">
        <f t="shared" si="2"/>
        <v>600</v>
      </c>
      <c r="O20" s="95"/>
      <c r="P20" s="95"/>
      <c r="Q20" s="95"/>
      <c r="R20" s="95"/>
      <c r="S20" s="95"/>
      <c r="T20" s="95"/>
    </row>
    <row r="21" spans="1:20" ht="24.75" x14ac:dyDescent="0.25">
      <c r="A21" s="160" t="s">
        <v>46</v>
      </c>
      <c r="B21" s="122" t="s">
        <v>234</v>
      </c>
      <c r="C21" s="167">
        <f t="shared" si="3"/>
        <v>86000</v>
      </c>
      <c r="D21" s="157"/>
      <c r="E21" s="48">
        <f t="shared" si="0"/>
        <v>86000</v>
      </c>
      <c r="F21" s="167">
        <f>4500+1000</f>
        <v>5500</v>
      </c>
      <c r="G21" s="157"/>
      <c r="H21" s="181">
        <f t="shared" si="1"/>
        <v>5500</v>
      </c>
      <c r="I21" s="190">
        <f>32500+28000</f>
        <v>60500</v>
      </c>
      <c r="J21" s="157"/>
      <c r="K21" s="191">
        <f>I21+J21</f>
        <v>60500</v>
      </c>
      <c r="L21" s="188">
        <f>13500+6500</f>
        <v>20000</v>
      </c>
      <c r="M21" s="225"/>
      <c r="N21" s="73">
        <f>L21+M21</f>
        <v>20000</v>
      </c>
      <c r="O21" s="95"/>
      <c r="P21" s="95"/>
      <c r="Q21" s="95"/>
      <c r="R21" s="95"/>
      <c r="S21" s="95"/>
      <c r="T21" s="95"/>
    </row>
    <row r="22" spans="1:20" x14ac:dyDescent="0.25">
      <c r="A22" s="160" t="s">
        <v>48</v>
      </c>
      <c r="B22" s="122" t="s">
        <v>235</v>
      </c>
      <c r="C22" s="167">
        <f t="shared" si="3"/>
        <v>52700</v>
      </c>
      <c r="D22" s="157">
        <f>J22</f>
        <v>15600</v>
      </c>
      <c r="E22" s="48">
        <f t="shared" si="0"/>
        <v>68300</v>
      </c>
      <c r="F22" s="167">
        <v>2600</v>
      </c>
      <c r="G22" s="157"/>
      <c r="H22" s="181">
        <f t="shared" si="1"/>
        <v>2600</v>
      </c>
      <c r="I22" s="190">
        <v>36900</v>
      </c>
      <c r="J22" s="157">
        <v>15600</v>
      </c>
      <c r="K22" s="191">
        <f t="shared" ref="K22:K39" si="4">I22+J22</f>
        <v>52500</v>
      </c>
      <c r="L22" s="188">
        <v>13200</v>
      </c>
      <c r="M22" s="157"/>
      <c r="N22" s="73">
        <f t="shared" si="2"/>
        <v>13200</v>
      </c>
      <c r="O22" s="95"/>
      <c r="P22" s="95"/>
      <c r="Q22" s="95"/>
      <c r="R22" s="95"/>
      <c r="S22" s="95"/>
      <c r="T22" s="95"/>
    </row>
    <row r="23" spans="1:20" x14ac:dyDescent="0.25">
      <c r="A23" s="160" t="s">
        <v>54</v>
      </c>
      <c r="B23" s="122" t="s">
        <v>236</v>
      </c>
      <c r="C23" s="167">
        <f t="shared" si="3"/>
        <v>54000</v>
      </c>
      <c r="D23" s="157"/>
      <c r="E23" s="48">
        <f t="shared" si="0"/>
        <v>54000</v>
      </c>
      <c r="F23" s="167">
        <f>3000+1000</f>
        <v>4000</v>
      </c>
      <c r="G23" s="157"/>
      <c r="H23" s="181">
        <f t="shared" si="1"/>
        <v>4000</v>
      </c>
      <c r="I23" s="190">
        <v>16000</v>
      </c>
      <c r="J23" s="157"/>
      <c r="K23" s="191">
        <f t="shared" si="4"/>
        <v>16000</v>
      </c>
      <c r="L23" s="188">
        <v>34000</v>
      </c>
      <c r="M23" s="157"/>
      <c r="N23" s="73">
        <f t="shared" si="2"/>
        <v>34000</v>
      </c>
      <c r="O23" s="95"/>
      <c r="P23" s="95"/>
      <c r="Q23" s="95"/>
      <c r="R23" s="95"/>
      <c r="S23" s="95"/>
      <c r="T23" s="95"/>
    </row>
    <row r="24" spans="1:20" x14ac:dyDescent="0.25">
      <c r="A24" s="160" t="s">
        <v>56</v>
      </c>
      <c r="B24" s="125" t="s">
        <v>237</v>
      </c>
      <c r="C24" s="167">
        <f t="shared" si="3"/>
        <v>27000</v>
      </c>
      <c r="D24" s="157"/>
      <c r="E24" s="48">
        <f t="shared" si="0"/>
        <v>27000</v>
      </c>
      <c r="F24" s="167">
        <v>2000</v>
      </c>
      <c r="G24" s="157"/>
      <c r="H24" s="181">
        <f t="shared" si="1"/>
        <v>2000</v>
      </c>
      <c r="I24" s="190">
        <v>7000</v>
      </c>
      <c r="J24" s="157"/>
      <c r="K24" s="191">
        <f t="shared" si="4"/>
        <v>7000</v>
      </c>
      <c r="L24" s="188">
        <v>18000</v>
      </c>
      <c r="M24" s="157"/>
      <c r="N24" s="73">
        <f t="shared" si="2"/>
        <v>18000</v>
      </c>
      <c r="O24" s="95"/>
      <c r="P24" s="95"/>
      <c r="Q24" s="95"/>
      <c r="R24" s="95"/>
      <c r="S24" s="95"/>
      <c r="T24" s="95"/>
    </row>
    <row r="25" spans="1:20" ht="48.75" x14ac:dyDescent="0.25">
      <c r="A25" s="160" t="s">
        <v>58</v>
      </c>
      <c r="B25" s="122" t="s">
        <v>238</v>
      </c>
      <c r="C25" s="167">
        <f t="shared" si="3"/>
        <v>20800</v>
      </c>
      <c r="D25" s="157"/>
      <c r="E25" s="48">
        <f t="shared" si="0"/>
        <v>20800</v>
      </c>
      <c r="F25" s="167">
        <v>700</v>
      </c>
      <c r="G25" s="157"/>
      <c r="H25" s="181">
        <f t="shared" si="1"/>
        <v>700</v>
      </c>
      <c r="I25" s="190">
        <v>15400</v>
      </c>
      <c r="J25" s="157"/>
      <c r="K25" s="191">
        <f t="shared" si="4"/>
        <v>15400</v>
      </c>
      <c r="L25" s="188">
        <v>4700</v>
      </c>
      <c r="M25" s="157"/>
      <c r="N25" s="73">
        <f t="shared" si="2"/>
        <v>4700</v>
      </c>
      <c r="O25" s="95"/>
      <c r="P25" s="95"/>
      <c r="Q25" s="95"/>
      <c r="R25" s="95"/>
      <c r="S25" s="95"/>
      <c r="T25" s="95"/>
    </row>
    <row r="26" spans="1:20" ht="24.75" x14ac:dyDescent="0.25">
      <c r="A26" s="160" t="s">
        <v>60</v>
      </c>
      <c r="B26" s="122" t="s">
        <v>239</v>
      </c>
      <c r="C26" s="167">
        <f t="shared" si="3"/>
        <v>25600</v>
      </c>
      <c r="D26" s="157"/>
      <c r="E26" s="48">
        <f t="shared" si="0"/>
        <v>25600</v>
      </c>
      <c r="F26" s="182">
        <v>3200</v>
      </c>
      <c r="G26" s="180"/>
      <c r="H26" s="181">
        <f t="shared" si="1"/>
        <v>3200</v>
      </c>
      <c r="I26" s="190">
        <v>17000</v>
      </c>
      <c r="J26" s="157"/>
      <c r="K26" s="191">
        <f t="shared" si="4"/>
        <v>17000</v>
      </c>
      <c r="L26" s="188">
        <v>5400</v>
      </c>
      <c r="M26" s="158"/>
      <c r="N26" s="73">
        <f t="shared" si="2"/>
        <v>5400</v>
      </c>
      <c r="O26" s="95"/>
      <c r="P26" s="95"/>
      <c r="Q26" s="95"/>
      <c r="R26" s="95"/>
      <c r="S26" s="95"/>
      <c r="T26" s="95"/>
    </row>
    <row r="27" spans="1:20" ht="36.75" x14ac:dyDescent="0.25">
      <c r="A27" s="160" t="s">
        <v>62</v>
      </c>
      <c r="B27" s="122" t="s">
        <v>240</v>
      </c>
      <c r="C27" s="167">
        <f t="shared" si="3"/>
        <v>25000</v>
      </c>
      <c r="D27" s="157"/>
      <c r="E27" s="48">
        <f t="shared" si="0"/>
        <v>25000</v>
      </c>
      <c r="F27" s="167">
        <v>3200</v>
      </c>
      <c r="G27" s="157"/>
      <c r="H27" s="181">
        <f t="shared" si="1"/>
        <v>3200</v>
      </c>
      <c r="I27" s="190">
        <v>19000</v>
      </c>
      <c r="J27" s="157"/>
      <c r="K27" s="191">
        <f t="shared" si="4"/>
        <v>19000</v>
      </c>
      <c r="L27" s="188">
        <v>2800</v>
      </c>
      <c r="M27" s="90"/>
      <c r="N27" s="73">
        <f t="shared" si="2"/>
        <v>2800</v>
      </c>
      <c r="O27" s="95"/>
      <c r="P27" s="95"/>
      <c r="Q27" s="95"/>
      <c r="R27" s="95"/>
      <c r="S27" s="95"/>
      <c r="T27" s="95"/>
    </row>
    <row r="28" spans="1:20" ht="60" x14ac:dyDescent="0.25">
      <c r="A28" s="160" t="s">
        <v>64</v>
      </c>
      <c r="B28" s="123" t="s">
        <v>241</v>
      </c>
      <c r="C28" s="167">
        <f t="shared" si="3"/>
        <v>23400</v>
      </c>
      <c r="D28" s="157"/>
      <c r="E28" s="48">
        <f t="shared" si="0"/>
        <v>23400</v>
      </c>
      <c r="F28" s="182">
        <v>2800</v>
      </c>
      <c r="G28" s="180"/>
      <c r="H28" s="181">
        <f t="shared" si="1"/>
        <v>2800</v>
      </c>
      <c r="I28" s="190">
        <v>5000</v>
      </c>
      <c r="J28" s="157"/>
      <c r="K28" s="191">
        <f t="shared" si="4"/>
        <v>5000</v>
      </c>
      <c r="L28" s="188">
        <v>15600</v>
      </c>
      <c r="M28" s="90"/>
      <c r="N28" s="73">
        <f t="shared" si="2"/>
        <v>15600</v>
      </c>
      <c r="O28" s="95"/>
      <c r="P28" s="95"/>
      <c r="Q28" s="95"/>
      <c r="R28" s="95"/>
      <c r="S28" s="95"/>
      <c r="T28" s="95"/>
    </row>
    <row r="29" spans="1:20" ht="36.75" x14ac:dyDescent="0.25">
      <c r="A29" s="160" t="s">
        <v>66</v>
      </c>
      <c r="B29" s="122" t="s">
        <v>242</v>
      </c>
      <c r="C29" s="167">
        <f t="shared" si="3"/>
        <v>90000</v>
      </c>
      <c r="D29" s="157"/>
      <c r="E29" s="48">
        <f t="shared" si="0"/>
        <v>90000</v>
      </c>
      <c r="F29" s="167">
        <v>1300</v>
      </c>
      <c r="G29" s="157"/>
      <c r="H29" s="181">
        <f t="shared" si="1"/>
        <v>1300</v>
      </c>
      <c r="I29" s="190">
        <v>70000</v>
      </c>
      <c r="J29" s="157"/>
      <c r="K29" s="191">
        <f t="shared" si="4"/>
        <v>70000</v>
      </c>
      <c r="L29" s="188">
        <v>18700</v>
      </c>
      <c r="M29" s="90"/>
      <c r="N29" s="73">
        <f t="shared" si="2"/>
        <v>18700</v>
      </c>
      <c r="O29" s="95"/>
      <c r="P29" s="95"/>
      <c r="Q29" s="95"/>
      <c r="R29" s="95"/>
      <c r="S29" s="95"/>
      <c r="T29" s="95"/>
    </row>
    <row r="30" spans="1:20" ht="24.75" x14ac:dyDescent="0.25">
      <c r="A30" s="160" t="s">
        <v>68</v>
      </c>
      <c r="B30" s="122" t="s">
        <v>243</v>
      </c>
      <c r="C30" s="167">
        <f t="shared" si="3"/>
        <v>101500</v>
      </c>
      <c r="D30" s="157"/>
      <c r="E30" s="48">
        <f t="shared" si="0"/>
        <v>101500</v>
      </c>
      <c r="F30" s="167">
        <v>500</v>
      </c>
      <c r="G30" s="157"/>
      <c r="H30" s="181">
        <f t="shared" si="1"/>
        <v>500</v>
      </c>
      <c r="I30" s="190">
        <v>67500</v>
      </c>
      <c r="J30" s="157"/>
      <c r="K30" s="191">
        <f t="shared" si="4"/>
        <v>67500</v>
      </c>
      <c r="L30" s="188">
        <v>33500</v>
      </c>
      <c r="M30" s="90"/>
      <c r="N30" s="73">
        <f t="shared" si="2"/>
        <v>33500</v>
      </c>
      <c r="O30" s="95"/>
      <c r="P30" s="95"/>
      <c r="Q30" s="95"/>
      <c r="R30" s="95"/>
      <c r="S30" s="95"/>
      <c r="T30" s="95"/>
    </row>
    <row r="31" spans="1:20" ht="24.75" x14ac:dyDescent="0.25">
      <c r="A31" s="160" t="s">
        <v>70</v>
      </c>
      <c r="B31" s="122" t="s">
        <v>244</v>
      </c>
      <c r="C31" s="167">
        <f t="shared" si="3"/>
        <v>68000</v>
      </c>
      <c r="D31" s="157"/>
      <c r="E31" s="48">
        <f t="shared" si="0"/>
        <v>68000</v>
      </c>
      <c r="F31" s="167">
        <v>1000</v>
      </c>
      <c r="G31" s="157"/>
      <c r="H31" s="181">
        <f t="shared" si="1"/>
        <v>1000</v>
      </c>
      <c r="I31" s="190">
        <v>65000</v>
      </c>
      <c r="J31" s="157"/>
      <c r="K31" s="191">
        <f t="shared" si="4"/>
        <v>65000</v>
      </c>
      <c r="L31" s="188">
        <v>2000</v>
      </c>
      <c r="M31" s="90"/>
      <c r="N31" s="73">
        <f t="shared" si="2"/>
        <v>2000</v>
      </c>
      <c r="O31" s="95"/>
      <c r="P31" s="95"/>
      <c r="Q31" s="95"/>
      <c r="R31" s="95"/>
      <c r="S31" s="95"/>
      <c r="T31" s="95"/>
    </row>
    <row r="32" spans="1:20" ht="24.75" x14ac:dyDescent="0.25">
      <c r="A32" s="160" t="s">
        <v>72</v>
      </c>
      <c r="B32" s="122" t="s">
        <v>245</v>
      </c>
      <c r="C32" s="167">
        <f t="shared" si="3"/>
        <v>116100</v>
      </c>
      <c r="D32" s="157"/>
      <c r="E32" s="48">
        <f t="shared" si="0"/>
        <v>116100</v>
      </c>
      <c r="F32" s="167">
        <v>600</v>
      </c>
      <c r="G32" s="157"/>
      <c r="H32" s="181">
        <f t="shared" si="1"/>
        <v>600</v>
      </c>
      <c r="I32" s="190">
        <v>85000</v>
      </c>
      <c r="J32" s="157"/>
      <c r="K32" s="191">
        <f t="shared" si="4"/>
        <v>85000</v>
      </c>
      <c r="L32" s="188">
        <v>30500</v>
      </c>
      <c r="M32" s="90"/>
      <c r="N32" s="73">
        <f t="shared" si="2"/>
        <v>30500</v>
      </c>
      <c r="O32" s="95"/>
      <c r="P32" s="95"/>
      <c r="Q32" s="95"/>
      <c r="R32" s="95"/>
      <c r="S32" s="95"/>
      <c r="T32" s="95"/>
    </row>
    <row r="33" spans="1:20" ht="24.75" x14ac:dyDescent="0.25">
      <c r="A33" s="160" t="s">
        <v>74</v>
      </c>
      <c r="B33" s="122" t="s">
        <v>246</v>
      </c>
      <c r="C33" s="167">
        <f t="shared" si="3"/>
        <v>112900</v>
      </c>
      <c r="D33" s="157"/>
      <c r="E33" s="48">
        <f t="shared" si="0"/>
        <v>112900</v>
      </c>
      <c r="F33" s="167">
        <v>1200</v>
      </c>
      <c r="G33" s="157"/>
      <c r="H33" s="181">
        <f t="shared" si="1"/>
        <v>1200</v>
      </c>
      <c r="I33" s="190">
        <v>84700</v>
      </c>
      <c r="J33" s="157"/>
      <c r="K33" s="191">
        <f t="shared" si="4"/>
        <v>84700</v>
      </c>
      <c r="L33" s="188">
        <v>27000</v>
      </c>
      <c r="M33" s="158"/>
      <c r="N33" s="73">
        <f t="shared" si="2"/>
        <v>27000</v>
      </c>
      <c r="O33" s="95"/>
      <c r="P33" s="95"/>
      <c r="Q33" s="95"/>
      <c r="R33" s="95"/>
      <c r="S33" s="95"/>
      <c r="T33" s="95"/>
    </row>
    <row r="34" spans="1:20" ht="24.75" x14ac:dyDescent="0.25">
      <c r="A34" s="160" t="s">
        <v>138</v>
      </c>
      <c r="B34" s="120" t="s">
        <v>247</v>
      </c>
      <c r="C34" s="167">
        <f t="shared" si="3"/>
        <v>104000</v>
      </c>
      <c r="D34" s="157"/>
      <c r="E34" s="48">
        <f t="shared" si="0"/>
        <v>104000</v>
      </c>
      <c r="F34" s="169"/>
      <c r="G34" s="179"/>
      <c r="H34" s="181">
        <f t="shared" si="1"/>
        <v>0</v>
      </c>
      <c r="I34" s="194">
        <v>101500</v>
      </c>
      <c r="J34" s="179"/>
      <c r="K34" s="191">
        <f t="shared" si="4"/>
        <v>101500</v>
      </c>
      <c r="L34" s="189">
        <v>2500</v>
      </c>
      <c r="M34" s="90"/>
      <c r="N34" s="73">
        <f t="shared" si="2"/>
        <v>2500</v>
      </c>
      <c r="O34" s="95"/>
      <c r="P34" s="95"/>
      <c r="Q34" s="95"/>
      <c r="R34" s="95"/>
      <c r="S34" s="95"/>
      <c r="T34" s="95"/>
    </row>
    <row r="35" spans="1:20" ht="24.75" x14ac:dyDescent="0.25">
      <c r="A35" s="160" t="s">
        <v>140</v>
      </c>
      <c r="B35" s="120" t="s">
        <v>248</v>
      </c>
      <c r="C35" s="167">
        <f t="shared" si="3"/>
        <v>21000</v>
      </c>
      <c r="D35" s="157"/>
      <c r="E35" s="48">
        <f t="shared" si="0"/>
        <v>21000</v>
      </c>
      <c r="F35" s="167"/>
      <c r="G35" s="157"/>
      <c r="H35" s="181">
        <f t="shared" si="1"/>
        <v>0</v>
      </c>
      <c r="I35" s="190">
        <v>21000</v>
      </c>
      <c r="J35" s="157"/>
      <c r="K35" s="191">
        <f t="shared" si="4"/>
        <v>21000</v>
      </c>
      <c r="L35" s="188"/>
      <c r="M35" s="90"/>
      <c r="N35" s="73">
        <f t="shared" si="2"/>
        <v>0</v>
      </c>
      <c r="O35" s="95"/>
      <c r="P35" s="95"/>
      <c r="Q35" s="95"/>
      <c r="R35" s="95"/>
      <c r="S35" s="95"/>
      <c r="T35" s="95"/>
    </row>
    <row r="36" spans="1:20" ht="24.75" x14ac:dyDescent="0.25">
      <c r="A36" s="160" t="s">
        <v>142</v>
      </c>
      <c r="B36" s="120" t="s">
        <v>249</v>
      </c>
      <c r="C36" s="167">
        <f t="shared" si="3"/>
        <v>370900</v>
      </c>
      <c r="D36" s="157"/>
      <c r="E36" s="48">
        <f>C36+D36</f>
        <v>370900</v>
      </c>
      <c r="F36" s="167">
        <f>1000+38000</f>
        <v>39000</v>
      </c>
      <c r="G36" s="157"/>
      <c r="H36" s="181">
        <f t="shared" si="1"/>
        <v>39000</v>
      </c>
      <c r="I36" s="190">
        <v>27900</v>
      </c>
      <c r="J36" s="157"/>
      <c r="K36" s="191">
        <f t="shared" si="4"/>
        <v>27900</v>
      </c>
      <c r="L36" s="188">
        <v>304000</v>
      </c>
      <c r="M36" s="90"/>
      <c r="N36" s="73">
        <f t="shared" si="2"/>
        <v>304000</v>
      </c>
      <c r="O36" s="95"/>
      <c r="P36" s="95"/>
      <c r="Q36" s="95"/>
      <c r="R36" s="95"/>
      <c r="S36" s="95"/>
      <c r="T36" s="95"/>
    </row>
    <row r="37" spans="1:20" ht="24.75" x14ac:dyDescent="0.25">
      <c r="A37" s="160" t="s">
        <v>144</v>
      </c>
      <c r="B37" s="120" t="s">
        <v>250</v>
      </c>
      <c r="C37" s="167">
        <f t="shared" si="3"/>
        <v>34200</v>
      </c>
      <c r="D37" s="157"/>
      <c r="E37" s="48">
        <f t="shared" si="0"/>
        <v>34200</v>
      </c>
      <c r="F37" s="167">
        <v>2000</v>
      </c>
      <c r="G37" s="157"/>
      <c r="H37" s="181">
        <f t="shared" si="1"/>
        <v>2000</v>
      </c>
      <c r="I37" s="190"/>
      <c r="J37" s="157"/>
      <c r="K37" s="191">
        <f t="shared" si="4"/>
        <v>0</v>
      </c>
      <c r="L37" s="188">
        <v>32200</v>
      </c>
      <c r="M37" s="90"/>
      <c r="N37" s="73">
        <f t="shared" si="2"/>
        <v>32200</v>
      </c>
      <c r="O37" s="95"/>
      <c r="P37" s="95"/>
      <c r="Q37" s="95"/>
      <c r="R37" s="95"/>
      <c r="S37" s="95"/>
      <c r="T37" s="95"/>
    </row>
    <row r="38" spans="1:20" ht="24.75" x14ac:dyDescent="0.25">
      <c r="A38" s="160" t="s">
        <v>146</v>
      </c>
      <c r="B38" s="120" t="s">
        <v>251</v>
      </c>
      <c r="C38" s="167">
        <f t="shared" si="3"/>
        <v>63400</v>
      </c>
      <c r="D38" s="157"/>
      <c r="E38" s="48">
        <f t="shared" si="0"/>
        <v>63400</v>
      </c>
      <c r="F38" s="169"/>
      <c r="G38" s="179"/>
      <c r="H38" s="181">
        <f t="shared" si="1"/>
        <v>0</v>
      </c>
      <c r="I38" s="190">
        <v>61900</v>
      </c>
      <c r="J38" s="157"/>
      <c r="K38" s="191">
        <f t="shared" si="4"/>
        <v>61900</v>
      </c>
      <c r="L38" s="188">
        <v>1500</v>
      </c>
      <c r="M38" s="158"/>
      <c r="N38" s="73">
        <f t="shared" si="2"/>
        <v>1500</v>
      </c>
      <c r="O38" s="95"/>
      <c r="P38" s="95"/>
      <c r="Q38" s="95"/>
      <c r="R38" s="95"/>
      <c r="S38" s="95"/>
      <c r="T38" s="95"/>
    </row>
    <row r="39" spans="1:20" ht="36.75" x14ac:dyDescent="0.25">
      <c r="A39" s="160" t="s">
        <v>148</v>
      </c>
      <c r="B39" s="120" t="s">
        <v>252</v>
      </c>
      <c r="C39" s="167">
        <f t="shared" si="3"/>
        <v>136000</v>
      </c>
      <c r="D39" s="157"/>
      <c r="E39" s="48">
        <f t="shared" si="0"/>
        <v>136000</v>
      </c>
      <c r="F39" s="169"/>
      <c r="G39" s="179"/>
      <c r="H39" s="181">
        <f t="shared" si="1"/>
        <v>0</v>
      </c>
      <c r="I39" s="190"/>
      <c r="J39" s="157"/>
      <c r="K39" s="191">
        <f t="shared" si="4"/>
        <v>0</v>
      </c>
      <c r="L39" s="188">
        <v>136000</v>
      </c>
      <c r="M39" s="90"/>
      <c r="N39" s="73">
        <f t="shared" si="2"/>
        <v>136000</v>
      </c>
      <c r="O39" s="95"/>
      <c r="P39" s="95"/>
      <c r="Q39" s="95"/>
      <c r="R39" s="95"/>
      <c r="S39" s="95"/>
      <c r="T39" s="95"/>
    </row>
    <row r="40" spans="1:20" ht="15.75" thickBot="1" x14ac:dyDescent="0.3">
      <c r="A40" s="162"/>
      <c r="B40" s="163" t="s">
        <v>253</v>
      </c>
      <c r="C40" s="77">
        <f t="shared" si="3"/>
        <v>2094800</v>
      </c>
      <c r="D40" s="164">
        <f>SUM(D13:D39)</f>
        <v>95600</v>
      </c>
      <c r="E40" s="49">
        <f t="shared" si="0"/>
        <v>2190400</v>
      </c>
      <c r="F40" s="77">
        <f>F13+F38+F39+F14+F16+F15+F17+F18+F19+F23+F20+F21+F22+F27+F24+F25+F28+F26+F30+F31+F29+F32+F33+F34+F35+F36+F37</f>
        <v>225500</v>
      </c>
      <c r="G40" s="164">
        <f>SUM(G13:G39)</f>
        <v>0</v>
      </c>
      <c r="H40" s="183">
        <f t="shared" si="1"/>
        <v>225500</v>
      </c>
      <c r="I40" s="195">
        <f>I13+I38+I39+I14+I16+I15+I17+I18+I19+I23+I20+I21+I22+I27+I24+I25+I28+I26+I30+I31+I29+I32+I33+I34+I35+I36+I37</f>
        <v>761300</v>
      </c>
      <c r="J40" s="164">
        <f>SUM(J13:J39)</f>
        <v>15600</v>
      </c>
      <c r="K40" s="196">
        <f>I40+J40</f>
        <v>776900</v>
      </c>
      <c r="L40" s="165">
        <f>L13+L38+L39+L14+L16+L15+L17+L18+L19+L23+L20+L21+L22+L27+L24+L25+L28+L26+L30+L31+L29+L32+L33+L34+L35+L36+L37</f>
        <v>1108000</v>
      </c>
      <c r="M40" s="91">
        <f>SUM(M13:M39)</f>
        <v>80000</v>
      </c>
      <c r="N40" s="71">
        <f t="shared" si="2"/>
        <v>1188000</v>
      </c>
      <c r="O40" s="95"/>
      <c r="P40" s="95"/>
      <c r="Q40" s="95"/>
      <c r="R40" s="95"/>
      <c r="S40" s="95"/>
      <c r="T40" s="95"/>
    </row>
    <row r="41" spans="1:20" x14ac:dyDescent="0.25">
      <c r="A41" s="96"/>
      <c r="B41" s="119"/>
      <c r="C41" s="107"/>
      <c r="D41" s="107"/>
      <c r="E41" s="107"/>
      <c r="F41" s="108"/>
      <c r="G41" s="108"/>
      <c r="H41" s="108"/>
      <c r="I41" s="104"/>
      <c r="J41" s="104"/>
      <c r="K41" s="104"/>
      <c r="L41" s="104"/>
      <c r="M41" s="105"/>
      <c r="N41" s="95"/>
      <c r="O41" s="95"/>
      <c r="P41" s="95"/>
      <c r="Q41" s="95"/>
      <c r="R41" s="95"/>
      <c r="S41" s="95"/>
      <c r="T41" s="95"/>
    </row>
    <row r="42" spans="1:20" x14ac:dyDescent="0.25">
      <c r="A42" s="96"/>
      <c r="B42" s="119"/>
      <c r="C42" s="97"/>
      <c r="D42" s="106"/>
      <c r="E42" s="106"/>
      <c r="F42" s="98"/>
      <c r="G42" s="177"/>
      <c r="H42" s="177"/>
      <c r="I42" s="51"/>
      <c r="J42" s="51"/>
      <c r="K42" s="51"/>
      <c r="L42" s="99"/>
      <c r="M42" s="100"/>
      <c r="N42" s="95"/>
      <c r="O42" s="95"/>
      <c r="P42" s="95"/>
      <c r="Q42" s="95"/>
      <c r="R42" s="95"/>
      <c r="S42" s="95"/>
      <c r="T42" s="95"/>
    </row>
    <row r="43" spans="1:20" x14ac:dyDescent="0.25">
      <c r="A43" s="96"/>
      <c r="B43" s="119"/>
      <c r="C43" s="107"/>
      <c r="D43" s="107"/>
      <c r="E43" s="107"/>
      <c r="F43" s="108"/>
      <c r="G43" s="108"/>
      <c r="H43" s="108"/>
      <c r="I43" s="104"/>
      <c r="J43" s="104"/>
      <c r="K43" s="104"/>
      <c r="L43" s="99"/>
      <c r="M43" s="105"/>
      <c r="N43" s="95"/>
      <c r="O43" s="95"/>
      <c r="P43" s="95"/>
      <c r="Q43" s="95"/>
      <c r="R43" s="95"/>
      <c r="S43" s="95"/>
      <c r="T43" s="95"/>
    </row>
    <row r="44" spans="1:20" x14ac:dyDescent="0.25">
      <c r="A44" s="96"/>
      <c r="B44" s="119"/>
      <c r="C44" s="96"/>
      <c r="D44" s="96"/>
      <c r="E44" s="96"/>
      <c r="F44" s="98"/>
      <c r="G44" s="177"/>
      <c r="H44" s="177"/>
      <c r="I44" s="51"/>
      <c r="J44" s="51"/>
      <c r="K44" s="51"/>
      <c r="L44" s="99"/>
      <c r="M44" s="100"/>
      <c r="N44" s="95"/>
      <c r="O44" s="95"/>
      <c r="P44" s="95"/>
      <c r="Q44" s="95"/>
      <c r="R44" s="95"/>
      <c r="S44" s="95"/>
      <c r="T44" s="95"/>
    </row>
    <row r="45" spans="1:20" x14ac:dyDescent="0.25">
      <c r="A45" s="96"/>
      <c r="B45" s="119"/>
      <c r="C45" s="119"/>
      <c r="D45" s="119"/>
      <c r="E45" s="119"/>
      <c r="F45" s="98"/>
      <c r="G45" s="177"/>
      <c r="H45" s="177"/>
      <c r="I45" s="51"/>
      <c r="J45" s="51"/>
      <c r="K45" s="51"/>
      <c r="L45" s="99"/>
      <c r="M45" s="100"/>
      <c r="N45" s="95"/>
      <c r="O45" s="95"/>
      <c r="P45" s="95"/>
      <c r="Q45" s="95"/>
      <c r="R45" s="95"/>
      <c r="S45" s="95"/>
      <c r="T45" s="95"/>
    </row>
    <row r="46" spans="1:20" x14ac:dyDescent="0.25">
      <c r="A46" s="96"/>
      <c r="B46" s="119"/>
      <c r="C46" s="119"/>
      <c r="D46" s="119"/>
      <c r="E46" s="119"/>
      <c r="F46" s="98"/>
      <c r="G46" s="177"/>
      <c r="H46" s="177"/>
      <c r="I46" s="51"/>
      <c r="J46" s="51"/>
      <c r="K46" s="51"/>
      <c r="L46" s="100"/>
      <c r="M46" s="100"/>
      <c r="N46" s="95"/>
      <c r="O46" s="95"/>
      <c r="P46" s="95"/>
      <c r="Q46" s="95"/>
      <c r="R46" s="95"/>
      <c r="S46" s="95"/>
      <c r="T46" s="95"/>
    </row>
    <row r="47" spans="1:20" x14ac:dyDescent="0.25">
      <c r="A47" s="96"/>
      <c r="B47" s="119"/>
      <c r="C47" s="119"/>
      <c r="D47" s="119"/>
      <c r="E47" s="119"/>
      <c r="F47" s="98"/>
      <c r="G47" s="177"/>
      <c r="H47" s="177"/>
      <c r="I47" s="51"/>
      <c r="J47" s="51"/>
      <c r="K47" s="51"/>
      <c r="L47" s="100"/>
      <c r="M47" s="100"/>
      <c r="N47" s="95"/>
      <c r="O47" s="95"/>
      <c r="P47" s="95"/>
      <c r="Q47" s="95"/>
      <c r="R47" s="95"/>
      <c r="S47" s="95"/>
      <c r="T47" s="95"/>
    </row>
    <row r="48" spans="1:20" x14ac:dyDescent="0.25">
      <c r="A48" s="96"/>
      <c r="B48" s="119"/>
      <c r="C48" s="119"/>
      <c r="D48" s="119"/>
      <c r="E48" s="119"/>
      <c r="F48" s="98"/>
      <c r="G48" s="177"/>
      <c r="H48" s="177"/>
      <c r="I48" s="51"/>
      <c r="J48" s="51"/>
      <c r="K48" s="51"/>
      <c r="L48" s="100"/>
      <c r="M48" s="100"/>
      <c r="N48" s="109"/>
      <c r="O48" s="109"/>
      <c r="P48" s="95"/>
      <c r="Q48" s="95"/>
      <c r="R48" s="95"/>
      <c r="S48" s="95"/>
      <c r="T48" s="95"/>
    </row>
    <row r="49" spans="1:20" x14ac:dyDescent="0.25">
      <c r="A49" s="96"/>
      <c r="B49" s="119"/>
      <c r="C49" s="97"/>
      <c r="D49" s="106"/>
      <c r="E49" s="106"/>
      <c r="F49" s="98"/>
      <c r="G49" s="177"/>
      <c r="H49" s="177"/>
      <c r="I49" s="110"/>
      <c r="J49" s="110"/>
      <c r="K49" s="110"/>
      <c r="L49" s="99"/>
      <c r="M49" s="100"/>
      <c r="N49" s="95"/>
      <c r="O49" s="95"/>
      <c r="P49" s="95"/>
      <c r="Q49" s="95"/>
      <c r="R49" s="95"/>
      <c r="S49" s="95"/>
      <c r="T49" s="95"/>
    </row>
    <row r="50" spans="1:20" x14ac:dyDescent="0.25">
      <c r="A50" s="96"/>
      <c r="B50" s="119"/>
      <c r="C50" s="107"/>
      <c r="D50" s="107"/>
      <c r="E50" s="107"/>
      <c r="F50" s="108"/>
      <c r="G50" s="108"/>
      <c r="H50" s="108"/>
      <c r="I50" s="104"/>
      <c r="J50" s="104"/>
      <c r="K50" s="104"/>
      <c r="L50" s="104"/>
      <c r="M50" s="105"/>
      <c r="N50" s="95"/>
      <c r="O50" s="95"/>
      <c r="P50" s="95"/>
      <c r="Q50" s="95"/>
      <c r="R50" s="95"/>
      <c r="S50" s="95"/>
      <c r="T50" s="95"/>
    </row>
    <row r="51" spans="1:20" x14ac:dyDescent="0.25">
      <c r="A51" s="96"/>
      <c r="B51" s="119"/>
      <c r="C51" s="96"/>
      <c r="D51" s="96"/>
      <c r="E51" s="96"/>
      <c r="F51" s="98"/>
      <c r="G51" s="177"/>
      <c r="H51" s="177"/>
      <c r="I51" s="51"/>
      <c r="J51" s="51"/>
      <c r="K51" s="51"/>
      <c r="L51" s="99"/>
      <c r="M51" s="100"/>
      <c r="N51" s="95"/>
      <c r="O51" s="95"/>
      <c r="P51" s="95"/>
      <c r="Q51" s="95"/>
      <c r="R51" s="95"/>
      <c r="S51" s="95"/>
      <c r="T51" s="95"/>
    </row>
    <row r="52" spans="1:20" x14ac:dyDescent="0.25">
      <c r="A52" s="96"/>
      <c r="B52" s="119"/>
      <c r="C52" s="119"/>
      <c r="D52" s="119"/>
      <c r="E52" s="119"/>
      <c r="F52" s="98"/>
      <c r="G52" s="177"/>
      <c r="H52" s="177"/>
      <c r="I52" s="51"/>
      <c r="J52" s="51"/>
      <c r="K52" s="51"/>
      <c r="L52" s="100"/>
      <c r="M52" s="100"/>
      <c r="N52" s="95"/>
      <c r="O52" s="95"/>
      <c r="P52" s="95"/>
      <c r="Q52" s="95"/>
      <c r="R52" s="95"/>
      <c r="S52" s="95"/>
      <c r="T52" s="95"/>
    </row>
    <row r="53" spans="1:20" x14ac:dyDescent="0.25">
      <c r="A53" s="96"/>
      <c r="B53" s="119"/>
      <c r="C53" s="119"/>
      <c r="D53" s="119"/>
      <c r="E53" s="119"/>
      <c r="F53" s="98"/>
      <c r="G53" s="177"/>
      <c r="H53" s="177"/>
      <c r="I53" s="51"/>
      <c r="J53" s="51"/>
      <c r="K53" s="51"/>
      <c r="L53" s="100"/>
      <c r="M53" s="100"/>
      <c r="N53" s="95"/>
      <c r="O53" s="95"/>
      <c r="P53" s="95"/>
      <c r="Q53" s="95"/>
      <c r="R53" s="95"/>
      <c r="S53" s="95"/>
      <c r="T53" s="95"/>
    </row>
    <row r="54" spans="1:20" x14ac:dyDescent="0.25">
      <c r="A54" s="96"/>
      <c r="B54" s="119"/>
      <c r="C54" s="119"/>
      <c r="D54" s="119"/>
      <c r="E54" s="119"/>
      <c r="F54" s="98"/>
      <c r="G54" s="177"/>
      <c r="H54" s="177"/>
      <c r="I54" s="51"/>
      <c r="J54" s="51"/>
      <c r="K54" s="51"/>
      <c r="L54" s="100"/>
      <c r="M54" s="100"/>
      <c r="N54" s="109"/>
      <c r="O54" s="109"/>
      <c r="P54" s="95"/>
      <c r="Q54" s="95"/>
      <c r="R54" s="95"/>
      <c r="S54" s="95"/>
      <c r="T54" s="95"/>
    </row>
    <row r="55" spans="1:20" x14ac:dyDescent="0.25">
      <c r="A55" s="96"/>
      <c r="B55" s="119"/>
      <c r="C55" s="119"/>
      <c r="D55" s="119"/>
      <c r="E55" s="119"/>
      <c r="F55" s="98"/>
      <c r="G55" s="177"/>
      <c r="H55" s="177"/>
      <c r="I55" s="51"/>
      <c r="J55" s="51"/>
      <c r="K55" s="51"/>
      <c r="L55" s="100"/>
      <c r="M55" s="100"/>
      <c r="N55" s="95"/>
      <c r="O55" s="95"/>
      <c r="P55" s="95"/>
      <c r="Q55" s="95"/>
      <c r="R55" s="95"/>
      <c r="S55" s="95"/>
      <c r="T55" s="95"/>
    </row>
    <row r="56" spans="1:20" x14ac:dyDescent="0.25">
      <c r="A56" s="96"/>
      <c r="B56" s="119"/>
      <c r="C56" s="107"/>
      <c r="D56" s="107"/>
      <c r="E56" s="107"/>
      <c r="F56" s="108"/>
      <c r="G56" s="108"/>
      <c r="H56" s="108"/>
      <c r="I56" s="104"/>
      <c r="J56" s="104"/>
      <c r="K56" s="104"/>
      <c r="L56" s="104"/>
      <c r="M56" s="105"/>
      <c r="N56" s="95"/>
      <c r="O56" s="95"/>
      <c r="P56" s="95"/>
      <c r="Q56" s="95"/>
      <c r="R56" s="95"/>
      <c r="S56" s="95"/>
      <c r="T56" s="95"/>
    </row>
    <row r="57" spans="1:20" x14ac:dyDescent="0.25">
      <c r="A57" s="96"/>
      <c r="B57" s="119"/>
      <c r="C57" s="96"/>
      <c r="D57" s="96"/>
      <c r="E57" s="96"/>
      <c r="F57" s="98"/>
      <c r="G57" s="177"/>
      <c r="H57" s="177"/>
      <c r="I57" s="51"/>
      <c r="J57" s="51"/>
      <c r="K57" s="51"/>
      <c r="L57" s="99"/>
      <c r="M57" s="100"/>
      <c r="N57" s="95"/>
      <c r="O57" s="95"/>
      <c r="P57" s="95"/>
      <c r="Q57" s="95"/>
      <c r="R57" s="95"/>
      <c r="S57" s="95"/>
      <c r="T57" s="95"/>
    </row>
    <row r="58" spans="1:20" x14ac:dyDescent="0.25">
      <c r="A58" s="96"/>
      <c r="B58" s="119"/>
      <c r="C58" s="107"/>
      <c r="D58" s="107"/>
      <c r="E58" s="107"/>
      <c r="F58" s="98"/>
      <c r="G58" s="177"/>
      <c r="H58" s="177"/>
      <c r="I58" s="104"/>
      <c r="J58" s="104"/>
      <c r="K58" s="104"/>
      <c r="L58" s="99"/>
      <c r="M58" s="105"/>
      <c r="N58" s="95"/>
      <c r="O58" s="95"/>
      <c r="P58" s="95"/>
      <c r="Q58" s="95"/>
      <c r="R58" s="95"/>
      <c r="S58" s="95"/>
      <c r="T58" s="95"/>
    </row>
    <row r="59" spans="1:20" x14ac:dyDescent="0.25">
      <c r="A59" s="96"/>
      <c r="B59" s="119"/>
      <c r="C59" s="96"/>
      <c r="D59" s="96"/>
      <c r="E59" s="96"/>
      <c r="F59" s="98"/>
      <c r="G59" s="177"/>
      <c r="H59" s="177"/>
      <c r="I59" s="51"/>
      <c r="J59" s="51"/>
      <c r="K59" s="51"/>
      <c r="L59" s="99"/>
      <c r="M59" s="100"/>
      <c r="N59" s="95"/>
      <c r="O59" s="95"/>
      <c r="P59" s="95"/>
      <c r="Q59" s="95"/>
      <c r="R59" s="95"/>
      <c r="S59" s="95"/>
      <c r="T59" s="95"/>
    </row>
    <row r="60" spans="1:20" x14ac:dyDescent="0.25">
      <c r="A60" s="96"/>
      <c r="B60" s="119"/>
      <c r="C60" s="96"/>
      <c r="D60" s="96"/>
      <c r="E60" s="96"/>
      <c r="F60" s="98"/>
      <c r="G60" s="177"/>
      <c r="H60" s="177"/>
      <c r="I60" s="51"/>
      <c r="J60" s="51"/>
      <c r="K60" s="51"/>
      <c r="L60" s="99"/>
      <c r="M60" s="100"/>
      <c r="N60" s="95"/>
      <c r="O60" s="95"/>
      <c r="P60" s="95"/>
      <c r="Q60" s="95"/>
      <c r="R60" s="95"/>
      <c r="S60" s="95"/>
      <c r="T60" s="95"/>
    </row>
    <row r="61" spans="1:20" x14ac:dyDescent="0.25">
      <c r="A61" s="96"/>
      <c r="B61" s="119"/>
      <c r="C61" s="96"/>
      <c r="D61" s="96"/>
      <c r="E61" s="96"/>
      <c r="F61" s="98"/>
      <c r="G61" s="177"/>
      <c r="H61" s="177"/>
      <c r="I61" s="51"/>
      <c r="J61" s="51"/>
      <c r="K61" s="51"/>
      <c r="L61" s="99"/>
      <c r="M61" s="100"/>
      <c r="N61" s="95"/>
      <c r="O61" s="95"/>
      <c r="P61" s="95"/>
      <c r="Q61" s="95"/>
      <c r="R61" s="95"/>
      <c r="S61" s="95"/>
      <c r="T61" s="95"/>
    </row>
    <row r="62" spans="1:20" x14ac:dyDescent="0.25">
      <c r="A62" s="96"/>
      <c r="B62" s="119"/>
      <c r="C62" s="107"/>
      <c r="D62" s="107"/>
      <c r="E62" s="107"/>
      <c r="F62" s="108"/>
      <c r="G62" s="108"/>
      <c r="H62" s="108"/>
      <c r="I62" s="104"/>
      <c r="J62" s="104"/>
      <c r="K62" s="104"/>
      <c r="L62" s="99"/>
      <c r="M62" s="105"/>
      <c r="N62" s="95"/>
      <c r="O62" s="95"/>
      <c r="P62" s="95"/>
      <c r="Q62" s="95"/>
      <c r="R62" s="95"/>
      <c r="S62" s="95"/>
      <c r="T62" s="95"/>
    </row>
    <row r="63" spans="1:20" x14ac:dyDescent="0.25">
      <c r="A63" s="96"/>
      <c r="B63" s="101"/>
      <c r="C63" s="102"/>
      <c r="D63" s="102"/>
      <c r="E63" s="102"/>
      <c r="F63" s="103"/>
      <c r="G63" s="103"/>
      <c r="H63" s="103"/>
      <c r="I63" s="104"/>
      <c r="J63" s="104"/>
      <c r="K63" s="104"/>
      <c r="L63" s="104"/>
      <c r="M63" s="105"/>
      <c r="N63" s="95"/>
      <c r="O63" s="111"/>
      <c r="P63" s="95"/>
      <c r="Q63" s="95"/>
      <c r="R63" s="95"/>
      <c r="S63" s="95"/>
      <c r="T63" s="95"/>
    </row>
    <row r="64" spans="1:20" x14ac:dyDescent="0.25">
      <c r="A64" s="96"/>
      <c r="B64" s="96"/>
      <c r="C64" s="96"/>
      <c r="D64" s="96"/>
      <c r="E64" s="96"/>
      <c r="F64" s="98"/>
      <c r="G64" s="177"/>
      <c r="H64" s="177"/>
      <c r="I64" s="51"/>
      <c r="J64" s="51"/>
      <c r="K64" s="51"/>
      <c r="L64" s="99"/>
      <c r="M64" s="100"/>
      <c r="N64" s="95"/>
      <c r="O64" s="95"/>
      <c r="P64" s="95"/>
      <c r="Q64" s="95"/>
      <c r="R64" s="95"/>
      <c r="S64" s="95"/>
      <c r="T64" s="95"/>
    </row>
    <row r="65" spans="1:20" x14ac:dyDescent="0.25">
      <c r="A65" s="96"/>
      <c r="B65" s="96"/>
      <c r="C65" s="96"/>
      <c r="D65" s="96"/>
      <c r="E65" s="96"/>
      <c r="F65" s="98"/>
      <c r="G65" s="177"/>
      <c r="H65" s="177"/>
      <c r="I65" s="51"/>
      <c r="J65" s="51"/>
      <c r="K65" s="51"/>
      <c r="L65" s="99"/>
      <c r="M65" s="100"/>
      <c r="N65" s="95"/>
      <c r="O65" s="95"/>
      <c r="P65" s="95"/>
      <c r="Q65" s="95"/>
      <c r="R65" s="95"/>
      <c r="S65" s="95"/>
      <c r="T65" s="95"/>
    </row>
    <row r="66" spans="1:20" x14ac:dyDescent="0.25">
      <c r="A66" s="96"/>
      <c r="B66" s="101"/>
      <c r="C66" s="102"/>
      <c r="D66" s="102"/>
      <c r="E66" s="102"/>
      <c r="F66" s="103"/>
      <c r="G66" s="103"/>
      <c r="H66" s="103"/>
      <c r="I66" s="104"/>
      <c r="J66" s="104"/>
      <c r="K66" s="104"/>
      <c r="L66" s="99"/>
      <c r="M66" s="105"/>
      <c r="N66" s="95"/>
      <c r="O66" s="95"/>
      <c r="P66" s="95"/>
      <c r="Q66" s="95"/>
      <c r="R66" s="95"/>
      <c r="S66" s="95"/>
      <c r="T66" s="95"/>
    </row>
    <row r="67" spans="1:20" x14ac:dyDescent="0.25">
      <c r="A67" s="96"/>
      <c r="B67" s="97"/>
      <c r="C67" s="96"/>
      <c r="D67" s="96"/>
      <c r="E67" s="96"/>
      <c r="F67" s="98"/>
      <c r="G67" s="177"/>
      <c r="H67" s="177"/>
      <c r="I67" s="51"/>
      <c r="J67" s="51"/>
      <c r="K67" s="51"/>
      <c r="L67" s="99"/>
      <c r="M67" s="100"/>
      <c r="N67" s="95"/>
      <c r="O67" s="95"/>
      <c r="P67" s="95"/>
      <c r="Q67" s="95"/>
      <c r="R67" s="95"/>
      <c r="S67" s="95"/>
      <c r="T67" s="95"/>
    </row>
    <row r="68" spans="1:20" x14ac:dyDescent="0.25">
      <c r="A68" s="96"/>
      <c r="B68" s="101"/>
      <c r="C68" s="102"/>
      <c r="D68" s="102"/>
      <c r="E68" s="102"/>
      <c r="F68" s="103"/>
      <c r="G68" s="103"/>
      <c r="H68" s="103"/>
      <c r="I68" s="104"/>
      <c r="J68" s="104"/>
      <c r="K68" s="104"/>
      <c r="L68" s="99"/>
      <c r="M68" s="105"/>
      <c r="N68" s="95"/>
      <c r="O68" s="95"/>
      <c r="P68" s="95"/>
      <c r="Q68" s="95"/>
      <c r="R68" s="95"/>
      <c r="S68" s="95"/>
      <c r="T68" s="95"/>
    </row>
    <row r="69" spans="1:20" x14ac:dyDescent="0.25">
      <c r="A69" s="96"/>
      <c r="B69" s="96"/>
      <c r="C69" s="96"/>
      <c r="D69" s="96"/>
      <c r="E69" s="96"/>
      <c r="F69" s="98"/>
      <c r="G69" s="177"/>
      <c r="H69" s="177"/>
      <c r="I69" s="51"/>
      <c r="J69" s="51"/>
      <c r="K69" s="51"/>
      <c r="L69" s="99"/>
      <c r="M69" s="100"/>
      <c r="N69" s="95"/>
      <c r="O69" s="95"/>
      <c r="P69" s="95"/>
      <c r="Q69" s="95"/>
      <c r="R69" s="95"/>
      <c r="S69" s="95"/>
      <c r="T69" s="95"/>
    </row>
    <row r="70" spans="1:20" x14ac:dyDescent="0.25">
      <c r="A70" s="96"/>
      <c r="B70" s="101"/>
      <c r="C70" s="102"/>
      <c r="D70" s="102"/>
      <c r="E70" s="102"/>
      <c r="F70" s="103"/>
      <c r="G70" s="103"/>
      <c r="H70" s="103"/>
      <c r="I70" s="104"/>
      <c r="J70" s="104"/>
      <c r="K70" s="104"/>
      <c r="L70" s="99"/>
      <c r="M70" s="105"/>
      <c r="N70" s="95"/>
      <c r="O70" s="95"/>
      <c r="P70" s="95"/>
      <c r="Q70" s="95"/>
      <c r="R70" s="95"/>
      <c r="S70" s="95"/>
      <c r="T70" s="95"/>
    </row>
    <row r="71" spans="1:20" x14ac:dyDescent="0.25">
      <c r="A71" s="96"/>
      <c r="B71" s="96"/>
      <c r="C71" s="96"/>
      <c r="D71" s="96"/>
      <c r="E71" s="96"/>
      <c r="F71" s="98"/>
      <c r="G71" s="177"/>
      <c r="H71" s="177"/>
      <c r="I71" s="51"/>
      <c r="J71" s="51"/>
      <c r="K71" s="51"/>
      <c r="L71" s="99"/>
      <c r="M71" s="100"/>
      <c r="N71" s="95"/>
      <c r="O71" s="95"/>
      <c r="P71" s="95"/>
      <c r="Q71" s="95"/>
      <c r="R71" s="95"/>
      <c r="S71" s="95"/>
      <c r="T71" s="95"/>
    </row>
    <row r="72" spans="1:20" x14ac:dyDescent="0.25">
      <c r="A72" s="96"/>
      <c r="B72" s="101"/>
      <c r="C72" s="102"/>
      <c r="D72" s="102"/>
      <c r="E72" s="102"/>
      <c r="F72" s="103"/>
      <c r="G72" s="103"/>
      <c r="H72" s="103"/>
      <c r="I72" s="104"/>
      <c r="J72" s="104"/>
      <c r="K72" s="104"/>
      <c r="L72" s="99"/>
      <c r="M72" s="105"/>
      <c r="N72" s="95"/>
      <c r="O72" s="95"/>
      <c r="P72" s="95"/>
      <c r="Q72" s="95"/>
      <c r="R72" s="95"/>
      <c r="S72" s="95"/>
      <c r="T72" s="95"/>
    </row>
    <row r="73" spans="1:20" x14ac:dyDescent="0.25">
      <c r="A73" s="96"/>
      <c r="B73" s="96"/>
      <c r="C73" s="96"/>
      <c r="D73" s="96"/>
      <c r="E73" s="96"/>
      <c r="F73" s="98"/>
      <c r="G73" s="177"/>
      <c r="H73" s="177"/>
      <c r="I73" s="51"/>
      <c r="J73" s="51"/>
      <c r="K73" s="51"/>
      <c r="L73" s="99"/>
      <c r="M73" s="100"/>
      <c r="N73" s="95"/>
      <c r="O73" s="95"/>
      <c r="P73" s="95"/>
      <c r="Q73" s="95"/>
      <c r="R73" s="95"/>
      <c r="S73" s="95"/>
      <c r="T73" s="95"/>
    </row>
    <row r="74" spans="1:20" x14ac:dyDescent="0.25">
      <c r="A74" s="96"/>
      <c r="B74" s="101"/>
      <c r="C74" s="102"/>
      <c r="D74" s="102"/>
      <c r="E74" s="102"/>
      <c r="F74" s="103"/>
      <c r="G74" s="103"/>
      <c r="H74" s="103"/>
      <c r="I74" s="104"/>
      <c r="J74" s="104"/>
      <c r="K74" s="104"/>
      <c r="L74" s="99"/>
      <c r="M74" s="105"/>
      <c r="N74" s="95"/>
      <c r="O74" s="95"/>
      <c r="P74" s="95"/>
      <c r="Q74" s="95"/>
      <c r="R74" s="95"/>
      <c r="S74" s="95"/>
      <c r="T74" s="95"/>
    </row>
    <row r="75" spans="1:20" x14ac:dyDescent="0.25">
      <c r="A75" s="96"/>
      <c r="B75" s="96"/>
      <c r="C75" s="96"/>
      <c r="D75" s="96"/>
      <c r="E75" s="96"/>
      <c r="F75" s="98"/>
      <c r="G75" s="177"/>
      <c r="H75" s="177"/>
      <c r="I75" s="51"/>
      <c r="J75" s="51"/>
      <c r="K75" s="51"/>
      <c r="L75" s="99"/>
      <c r="M75" s="100"/>
      <c r="N75" s="95"/>
      <c r="O75" s="95"/>
      <c r="P75" s="95"/>
      <c r="Q75" s="95"/>
      <c r="R75" s="95"/>
      <c r="S75" s="95"/>
      <c r="T75" s="95"/>
    </row>
    <row r="76" spans="1:20" x14ac:dyDescent="0.25">
      <c r="A76" s="96"/>
      <c r="B76" s="101"/>
      <c r="C76" s="102"/>
      <c r="D76" s="102"/>
      <c r="E76" s="102"/>
      <c r="F76" s="103"/>
      <c r="G76" s="103"/>
      <c r="H76" s="103"/>
      <c r="I76" s="104"/>
      <c r="J76" s="104"/>
      <c r="K76" s="104"/>
      <c r="L76" s="99"/>
      <c r="M76" s="105"/>
      <c r="N76" s="95"/>
      <c r="O76" s="95"/>
      <c r="P76" s="95"/>
      <c r="Q76" s="95"/>
      <c r="R76" s="95"/>
      <c r="S76" s="95"/>
      <c r="T76" s="95"/>
    </row>
    <row r="77" spans="1:20" x14ac:dyDescent="0.25">
      <c r="A77" s="96"/>
      <c r="B77" s="96"/>
      <c r="C77" s="96"/>
      <c r="D77" s="96"/>
      <c r="E77" s="96"/>
      <c r="F77" s="98"/>
      <c r="G77" s="177"/>
      <c r="H77" s="177"/>
      <c r="I77" s="51"/>
      <c r="J77" s="51"/>
      <c r="K77" s="51"/>
      <c r="L77" s="99"/>
      <c r="M77" s="100"/>
      <c r="N77" s="95"/>
      <c r="O77" s="95"/>
      <c r="P77" s="95"/>
      <c r="Q77" s="95"/>
      <c r="R77" s="95"/>
      <c r="S77" s="95"/>
      <c r="T77" s="95"/>
    </row>
    <row r="78" spans="1:20" x14ac:dyDescent="0.25">
      <c r="A78" s="96"/>
      <c r="B78" s="101"/>
      <c r="C78" s="102"/>
      <c r="D78" s="102"/>
      <c r="E78" s="102"/>
      <c r="F78" s="103"/>
      <c r="G78" s="103"/>
      <c r="H78" s="103"/>
      <c r="I78" s="104"/>
      <c r="J78" s="104"/>
      <c r="K78" s="104"/>
      <c r="L78" s="99"/>
      <c r="M78" s="105"/>
      <c r="N78" s="95"/>
      <c r="O78" s="95"/>
      <c r="P78" s="95"/>
      <c r="Q78" s="95"/>
      <c r="R78" s="95"/>
      <c r="S78" s="95"/>
      <c r="T78" s="95"/>
    </row>
    <row r="79" spans="1:20" x14ac:dyDescent="0.25">
      <c r="A79" s="96"/>
      <c r="B79" s="96"/>
      <c r="C79" s="96"/>
      <c r="D79" s="96"/>
      <c r="E79" s="96"/>
      <c r="F79" s="98"/>
      <c r="G79" s="177"/>
      <c r="H79" s="177"/>
      <c r="I79" s="51"/>
      <c r="J79" s="51"/>
      <c r="K79" s="51"/>
      <c r="L79" s="99"/>
      <c r="M79" s="100"/>
      <c r="N79" s="95"/>
      <c r="O79" s="95"/>
      <c r="P79" s="95"/>
      <c r="Q79" s="95"/>
      <c r="R79" s="95"/>
      <c r="S79" s="95"/>
      <c r="T79" s="95"/>
    </row>
    <row r="80" spans="1:20" x14ac:dyDescent="0.25">
      <c r="A80" s="96"/>
      <c r="B80" s="101"/>
      <c r="C80" s="102"/>
      <c r="D80" s="102"/>
      <c r="E80" s="102"/>
      <c r="F80" s="103"/>
      <c r="G80" s="103"/>
      <c r="H80" s="103"/>
      <c r="I80" s="104"/>
      <c r="J80" s="104"/>
      <c r="K80" s="104"/>
      <c r="L80" s="99"/>
      <c r="M80" s="105"/>
      <c r="N80" s="95"/>
      <c r="O80" s="95"/>
      <c r="P80" s="95"/>
      <c r="Q80" s="95"/>
      <c r="R80" s="95"/>
      <c r="S80" s="95"/>
      <c r="T80" s="95"/>
    </row>
    <row r="81" spans="1:20" x14ac:dyDescent="0.25">
      <c r="A81" s="96"/>
      <c r="B81" s="96"/>
      <c r="C81" s="96"/>
      <c r="D81" s="96"/>
      <c r="E81" s="96"/>
      <c r="F81" s="98"/>
      <c r="G81" s="177"/>
      <c r="H81" s="177"/>
      <c r="I81" s="51"/>
      <c r="J81" s="51"/>
      <c r="K81" s="51"/>
      <c r="L81" s="99"/>
      <c r="M81" s="100"/>
      <c r="N81" s="95"/>
      <c r="O81" s="95"/>
      <c r="P81" s="95"/>
      <c r="Q81" s="95"/>
      <c r="R81" s="95"/>
      <c r="S81" s="95"/>
      <c r="T81" s="95"/>
    </row>
    <row r="82" spans="1:20" x14ac:dyDescent="0.25">
      <c r="A82" s="96"/>
      <c r="B82" s="101"/>
      <c r="C82" s="102"/>
      <c r="D82" s="102"/>
      <c r="E82" s="102"/>
      <c r="F82" s="103"/>
      <c r="G82" s="103"/>
      <c r="H82" s="103"/>
      <c r="I82" s="104"/>
      <c r="J82" s="104"/>
      <c r="K82" s="104"/>
      <c r="L82" s="99"/>
      <c r="M82" s="105"/>
      <c r="N82" s="95"/>
      <c r="O82" s="95"/>
      <c r="P82" s="95"/>
      <c r="Q82" s="95"/>
      <c r="R82" s="95"/>
      <c r="S82" s="95"/>
      <c r="T82" s="95"/>
    </row>
    <row r="83" spans="1:20" x14ac:dyDescent="0.25">
      <c r="A83" s="96"/>
      <c r="B83" s="96"/>
      <c r="C83" s="96"/>
      <c r="D83" s="96"/>
      <c r="E83" s="96"/>
      <c r="F83" s="98"/>
      <c r="G83" s="177"/>
      <c r="H83" s="177"/>
      <c r="I83" s="51"/>
      <c r="J83" s="51"/>
      <c r="K83" s="51"/>
      <c r="L83" s="99"/>
      <c r="M83" s="100"/>
      <c r="N83" s="95"/>
      <c r="O83" s="95"/>
      <c r="P83" s="95"/>
      <c r="Q83" s="95"/>
      <c r="R83" s="95"/>
      <c r="S83" s="95"/>
      <c r="T83" s="95"/>
    </row>
    <row r="84" spans="1:20" x14ac:dyDescent="0.25">
      <c r="A84" s="96"/>
      <c r="B84" s="101"/>
      <c r="C84" s="102"/>
      <c r="D84" s="102"/>
      <c r="E84" s="102"/>
      <c r="F84" s="103"/>
      <c r="G84" s="103"/>
      <c r="H84" s="103"/>
      <c r="I84" s="104"/>
      <c r="J84" s="104"/>
      <c r="K84" s="104"/>
      <c r="L84" s="99"/>
      <c r="M84" s="105"/>
      <c r="N84" s="95"/>
      <c r="O84" s="95"/>
      <c r="P84" s="95"/>
      <c r="Q84" s="95"/>
      <c r="R84" s="95"/>
      <c r="S84" s="95"/>
      <c r="T84" s="95"/>
    </row>
    <row r="85" spans="1:20" x14ac:dyDescent="0.25">
      <c r="A85" s="96"/>
      <c r="B85" s="96"/>
      <c r="C85" s="96"/>
      <c r="D85" s="96"/>
      <c r="E85" s="96"/>
      <c r="F85" s="98"/>
      <c r="G85" s="177"/>
      <c r="H85" s="177"/>
      <c r="I85" s="51"/>
      <c r="J85" s="51"/>
      <c r="K85" s="51"/>
      <c r="L85" s="99"/>
      <c r="M85" s="100"/>
      <c r="N85" s="95"/>
      <c r="O85" s="95"/>
      <c r="P85" s="95"/>
      <c r="Q85" s="95"/>
      <c r="R85" s="95"/>
      <c r="S85" s="95"/>
      <c r="T85" s="95"/>
    </row>
    <row r="86" spans="1:20" x14ac:dyDescent="0.25">
      <c r="A86" s="96"/>
      <c r="B86" s="96"/>
      <c r="C86" s="96"/>
      <c r="D86" s="96"/>
      <c r="E86" s="96"/>
      <c r="F86" s="98"/>
      <c r="G86" s="177"/>
      <c r="H86" s="177"/>
      <c r="I86" s="51"/>
      <c r="J86" s="51"/>
      <c r="K86" s="51"/>
      <c r="L86" s="99"/>
      <c r="M86" s="100"/>
      <c r="N86" s="95"/>
      <c r="O86" s="95"/>
      <c r="P86" s="95"/>
      <c r="Q86" s="95"/>
      <c r="R86" s="95"/>
      <c r="S86" s="95"/>
      <c r="T86" s="95"/>
    </row>
    <row r="87" spans="1:20" x14ac:dyDescent="0.25">
      <c r="A87" s="96"/>
      <c r="B87" s="101"/>
      <c r="C87" s="102"/>
      <c r="D87" s="102"/>
      <c r="E87" s="102"/>
      <c r="F87" s="103"/>
      <c r="G87" s="103"/>
      <c r="H87" s="103"/>
      <c r="I87" s="104"/>
      <c r="J87" s="104"/>
      <c r="K87" s="104"/>
      <c r="L87" s="99"/>
      <c r="M87" s="105"/>
      <c r="N87" s="95"/>
      <c r="O87" s="95"/>
      <c r="P87" s="95"/>
      <c r="Q87" s="95"/>
      <c r="R87" s="95"/>
      <c r="S87" s="95"/>
      <c r="T87" s="95"/>
    </row>
    <row r="88" spans="1:20" x14ac:dyDescent="0.25">
      <c r="A88" s="96"/>
      <c r="B88" s="96"/>
      <c r="C88" s="96"/>
      <c r="D88" s="96"/>
      <c r="E88" s="96"/>
      <c r="F88" s="98"/>
      <c r="G88" s="177"/>
      <c r="H88" s="177"/>
      <c r="I88" s="51"/>
      <c r="J88" s="51"/>
      <c r="K88" s="51"/>
      <c r="L88" s="99"/>
      <c r="M88" s="100"/>
      <c r="N88" s="95"/>
      <c r="O88" s="95"/>
      <c r="P88" s="95"/>
      <c r="Q88" s="95"/>
      <c r="R88" s="95"/>
      <c r="S88" s="95"/>
      <c r="T88" s="95"/>
    </row>
    <row r="89" spans="1:20" x14ac:dyDescent="0.25">
      <c r="A89" s="96"/>
      <c r="B89" s="96"/>
      <c r="C89" s="96"/>
      <c r="D89" s="96"/>
      <c r="E89" s="96"/>
      <c r="F89" s="108"/>
      <c r="G89" s="108"/>
      <c r="H89" s="108"/>
      <c r="I89" s="110"/>
      <c r="J89" s="110"/>
      <c r="K89" s="110"/>
      <c r="L89" s="99"/>
      <c r="M89" s="100"/>
      <c r="N89" s="95"/>
      <c r="O89" s="95"/>
      <c r="P89" s="95"/>
      <c r="Q89" s="95"/>
      <c r="R89" s="95"/>
      <c r="S89" s="95"/>
      <c r="T89" s="95"/>
    </row>
    <row r="90" spans="1:20" x14ac:dyDescent="0.25">
      <c r="A90" s="96"/>
      <c r="B90" s="101"/>
      <c r="C90" s="102"/>
      <c r="D90" s="102"/>
      <c r="E90" s="102"/>
      <c r="F90" s="103"/>
      <c r="G90" s="103"/>
      <c r="H90" s="103"/>
      <c r="I90" s="104"/>
      <c r="J90" s="104"/>
      <c r="K90" s="104"/>
      <c r="L90" s="99"/>
      <c r="M90" s="105"/>
      <c r="N90" s="95"/>
      <c r="O90" s="95"/>
      <c r="P90" s="95"/>
      <c r="Q90" s="95"/>
      <c r="R90" s="95"/>
      <c r="S90" s="95"/>
      <c r="T90" s="95"/>
    </row>
    <row r="91" spans="1:20" x14ac:dyDescent="0.25">
      <c r="A91" s="96"/>
      <c r="B91" s="96"/>
      <c r="C91" s="96"/>
      <c r="D91" s="96"/>
      <c r="E91" s="96"/>
      <c r="F91" s="98"/>
      <c r="G91" s="177"/>
      <c r="H91" s="177"/>
      <c r="I91" s="51"/>
      <c r="J91" s="51"/>
      <c r="K91" s="51"/>
      <c r="L91" s="99"/>
      <c r="M91" s="100"/>
      <c r="N91" s="95"/>
      <c r="O91" s="95"/>
      <c r="P91" s="95"/>
      <c r="Q91" s="95"/>
      <c r="R91" s="95"/>
      <c r="S91" s="95"/>
      <c r="T91" s="95"/>
    </row>
    <row r="92" spans="1:20" x14ac:dyDescent="0.25">
      <c r="A92" s="96"/>
      <c r="B92" s="96"/>
      <c r="C92" s="96"/>
      <c r="D92" s="96"/>
      <c r="E92" s="96"/>
      <c r="F92" s="108"/>
      <c r="G92" s="108"/>
      <c r="H92" s="108"/>
      <c r="I92" s="110"/>
      <c r="J92" s="110"/>
      <c r="K92" s="110"/>
      <c r="L92" s="100"/>
      <c r="M92" s="100"/>
      <c r="N92" s="95"/>
      <c r="O92" s="95"/>
      <c r="P92" s="95"/>
      <c r="Q92" s="95"/>
      <c r="R92" s="95"/>
      <c r="S92" s="95"/>
      <c r="T92" s="95"/>
    </row>
    <row r="93" spans="1:20" x14ac:dyDescent="0.25">
      <c r="A93" s="96"/>
      <c r="B93" s="101"/>
      <c r="C93" s="102"/>
      <c r="D93" s="102"/>
      <c r="E93" s="102"/>
      <c r="F93" s="103"/>
      <c r="G93" s="103"/>
      <c r="H93" s="103"/>
      <c r="I93" s="104"/>
      <c r="J93" s="104"/>
      <c r="K93" s="104"/>
      <c r="L93" s="104"/>
      <c r="M93" s="105"/>
      <c r="N93" s="95"/>
      <c r="O93" s="95"/>
      <c r="P93" s="95"/>
      <c r="Q93" s="95"/>
      <c r="R93" s="95"/>
      <c r="S93" s="95"/>
      <c r="T93" s="95"/>
    </row>
    <row r="94" spans="1:20" x14ac:dyDescent="0.25">
      <c r="A94" s="96"/>
      <c r="B94" s="96"/>
      <c r="C94" s="96"/>
      <c r="D94" s="96"/>
      <c r="E94" s="96"/>
      <c r="F94" s="98"/>
      <c r="G94" s="177"/>
      <c r="H94" s="177"/>
      <c r="I94" s="51"/>
      <c r="J94" s="51"/>
      <c r="K94" s="51"/>
      <c r="L94" s="99"/>
      <c r="M94" s="100"/>
      <c r="N94" s="95"/>
      <c r="O94" s="95"/>
      <c r="P94" s="95"/>
      <c r="Q94" s="95"/>
      <c r="R94" s="95"/>
      <c r="S94" s="95"/>
      <c r="T94" s="95"/>
    </row>
    <row r="95" spans="1:20" x14ac:dyDescent="0.25">
      <c r="A95" s="96"/>
      <c r="B95" s="96"/>
      <c r="C95" s="96"/>
      <c r="D95" s="96"/>
      <c r="E95" s="96"/>
      <c r="F95" s="108"/>
      <c r="G95" s="108"/>
      <c r="H95" s="108"/>
      <c r="I95" s="110"/>
      <c r="J95" s="110"/>
      <c r="K95" s="110"/>
      <c r="L95" s="99"/>
      <c r="M95" s="100"/>
      <c r="N95" s="95"/>
      <c r="O95" s="95"/>
      <c r="P95" s="95"/>
      <c r="Q95" s="95"/>
      <c r="R95" s="95"/>
      <c r="S95" s="95"/>
      <c r="T95" s="95"/>
    </row>
    <row r="96" spans="1:20" x14ac:dyDescent="0.25">
      <c r="A96" s="96"/>
      <c r="B96" s="96"/>
      <c r="C96" s="96"/>
      <c r="D96" s="96"/>
      <c r="E96" s="96"/>
      <c r="F96" s="98"/>
      <c r="G96" s="177"/>
      <c r="H96" s="177"/>
      <c r="I96" s="51"/>
      <c r="J96" s="51"/>
      <c r="K96" s="51"/>
      <c r="L96" s="99"/>
      <c r="M96" s="100"/>
      <c r="N96" s="95"/>
      <c r="O96" s="95"/>
      <c r="P96" s="95"/>
      <c r="Q96" s="95"/>
      <c r="R96" s="95"/>
      <c r="S96" s="95"/>
      <c r="T96" s="95"/>
    </row>
    <row r="97" spans="1:20" x14ac:dyDescent="0.25">
      <c r="A97" s="96"/>
      <c r="B97" s="101"/>
      <c r="C97" s="102"/>
      <c r="D97" s="102"/>
      <c r="E97" s="102"/>
      <c r="F97" s="103"/>
      <c r="G97" s="103"/>
      <c r="H97" s="103"/>
      <c r="I97" s="104"/>
      <c r="J97" s="104"/>
      <c r="K97" s="104"/>
      <c r="L97" s="99"/>
      <c r="M97" s="105"/>
      <c r="N97" s="95"/>
      <c r="O97" s="95"/>
      <c r="P97" s="95"/>
      <c r="Q97" s="95"/>
      <c r="R97" s="95"/>
      <c r="S97" s="95"/>
      <c r="T97" s="95"/>
    </row>
    <row r="98" spans="1:20" x14ac:dyDescent="0.25">
      <c r="A98" s="256"/>
      <c r="B98" s="257"/>
      <c r="C98" s="257"/>
      <c r="D98" s="106"/>
      <c r="E98" s="106"/>
      <c r="F98" s="98"/>
      <c r="G98" s="177"/>
      <c r="H98" s="177"/>
      <c r="I98" s="51"/>
      <c r="J98" s="51"/>
      <c r="K98" s="51"/>
      <c r="L98" s="99"/>
      <c r="M98" s="100"/>
      <c r="N98" s="95"/>
      <c r="O98" s="95"/>
      <c r="P98" s="95"/>
      <c r="Q98" s="95"/>
      <c r="R98" s="95"/>
      <c r="S98" s="95"/>
      <c r="T98" s="95"/>
    </row>
    <row r="99" spans="1:20" x14ac:dyDescent="0.25">
      <c r="A99" s="256"/>
      <c r="B99" s="257"/>
      <c r="C99" s="257"/>
      <c r="D99" s="106"/>
      <c r="E99" s="106"/>
      <c r="F99" s="98"/>
      <c r="G99" s="177"/>
      <c r="H99" s="177"/>
      <c r="I99" s="51"/>
      <c r="J99" s="51"/>
      <c r="K99" s="51"/>
      <c r="L99" s="99"/>
      <c r="M99" s="100"/>
      <c r="N99" s="95"/>
      <c r="O99" s="95"/>
      <c r="P99" s="95"/>
      <c r="Q99" s="95"/>
      <c r="R99" s="95"/>
      <c r="S99" s="95"/>
      <c r="T99" s="95"/>
    </row>
    <row r="100" spans="1:20" x14ac:dyDescent="0.25">
      <c r="A100" s="256"/>
      <c r="B100" s="101"/>
      <c r="C100" s="102"/>
      <c r="D100" s="102"/>
      <c r="E100" s="102"/>
      <c r="F100" s="103"/>
      <c r="G100" s="103"/>
      <c r="H100" s="103"/>
      <c r="I100" s="104"/>
      <c r="J100" s="104"/>
      <c r="K100" s="104"/>
      <c r="L100" s="99"/>
      <c r="M100" s="105"/>
      <c r="N100" s="95"/>
      <c r="O100" s="95"/>
      <c r="P100" s="95"/>
      <c r="Q100" s="95"/>
      <c r="R100" s="95"/>
      <c r="S100" s="95"/>
      <c r="T100" s="95"/>
    </row>
    <row r="101" spans="1:20" x14ac:dyDescent="0.25">
      <c r="A101" s="256"/>
      <c r="B101" s="257"/>
      <c r="C101" s="257"/>
      <c r="D101" s="106"/>
      <c r="E101" s="106"/>
      <c r="F101" s="98"/>
      <c r="G101" s="177"/>
      <c r="H101" s="177"/>
      <c r="I101" s="51"/>
      <c r="J101" s="51"/>
      <c r="K101" s="51"/>
      <c r="L101" s="99"/>
      <c r="M101" s="100"/>
      <c r="N101" s="95"/>
      <c r="O101" s="95"/>
      <c r="P101" s="95"/>
      <c r="Q101" s="95"/>
      <c r="R101" s="95"/>
      <c r="S101" s="95"/>
      <c r="T101" s="95"/>
    </row>
    <row r="102" spans="1:20" ht="30" customHeight="1" x14ac:dyDescent="0.25">
      <c r="A102" s="256"/>
      <c r="B102" s="257"/>
      <c r="C102" s="257"/>
      <c r="D102" s="106"/>
      <c r="E102" s="106"/>
      <c r="F102" s="98"/>
      <c r="G102" s="177"/>
      <c r="H102" s="177"/>
      <c r="I102" s="51"/>
      <c r="J102" s="51"/>
      <c r="K102" s="51"/>
      <c r="L102" s="99"/>
      <c r="M102" s="100"/>
      <c r="N102" s="95"/>
      <c r="O102" s="95"/>
      <c r="P102" s="95"/>
      <c r="Q102" s="95"/>
      <c r="R102" s="95"/>
      <c r="S102" s="95"/>
      <c r="T102" s="95"/>
    </row>
    <row r="103" spans="1:20" x14ac:dyDescent="0.25">
      <c r="A103" s="256"/>
      <c r="B103" s="101"/>
      <c r="C103" s="102"/>
      <c r="D103" s="102"/>
      <c r="E103" s="102"/>
      <c r="F103" s="103"/>
      <c r="G103" s="103"/>
      <c r="H103" s="103"/>
      <c r="I103" s="104"/>
      <c r="J103" s="104"/>
      <c r="K103" s="104"/>
      <c r="L103" s="104"/>
      <c r="M103" s="105"/>
      <c r="N103" s="95"/>
      <c r="O103" s="95"/>
      <c r="P103" s="95"/>
      <c r="Q103" s="95"/>
      <c r="R103" s="95"/>
      <c r="S103" s="95"/>
      <c r="T103" s="95"/>
    </row>
    <row r="104" spans="1:20" ht="15" customHeight="1" x14ac:dyDescent="0.25">
      <c r="A104" s="256"/>
      <c r="B104" s="257"/>
      <c r="C104" s="257"/>
      <c r="D104" s="106"/>
      <c r="E104" s="106"/>
      <c r="F104" s="98"/>
      <c r="G104" s="177"/>
      <c r="H104" s="177"/>
      <c r="I104" s="51"/>
      <c r="J104" s="51"/>
      <c r="K104" s="51"/>
      <c r="L104" s="99"/>
      <c r="M104" s="100"/>
      <c r="N104" s="95"/>
      <c r="O104" s="95"/>
      <c r="P104" s="95"/>
      <c r="Q104" s="95"/>
      <c r="R104" s="95"/>
      <c r="S104" s="95"/>
      <c r="T104" s="95"/>
    </row>
    <row r="105" spans="1:20" x14ac:dyDescent="0.25">
      <c r="A105" s="256"/>
      <c r="B105" s="257"/>
      <c r="C105" s="257"/>
      <c r="D105" s="106"/>
      <c r="E105" s="106"/>
      <c r="F105" s="108"/>
      <c r="G105" s="108"/>
      <c r="H105" s="108"/>
      <c r="I105" s="110"/>
      <c r="J105" s="110"/>
      <c r="K105" s="110"/>
      <c r="L105" s="99"/>
      <c r="M105" s="100"/>
      <c r="N105" s="95"/>
      <c r="O105" s="95"/>
      <c r="P105" s="95"/>
      <c r="Q105" s="95"/>
      <c r="R105" s="95"/>
      <c r="S105" s="95"/>
      <c r="T105" s="95"/>
    </row>
    <row r="106" spans="1:20" x14ac:dyDescent="0.25">
      <c r="A106" s="256"/>
      <c r="B106" s="257"/>
      <c r="C106" s="257"/>
      <c r="D106" s="106"/>
      <c r="E106" s="106"/>
      <c r="F106" s="98"/>
      <c r="G106" s="177"/>
      <c r="H106" s="177"/>
      <c r="I106" s="51"/>
      <c r="J106" s="51"/>
      <c r="K106" s="51"/>
      <c r="L106" s="99"/>
      <c r="M106" s="100"/>
      <c r="N106" s="95"/>
      <c r="O106" s="95"/>
      <c r="P106" s="95"/>
      <c r="Q106" s="95"/>
      <c r="R106" s="95"/>
      <c r="S106" s="95"/>
      <c r="T106" s="95"/>
    </row>
    <row r="107" spans="1:20" x14ac:dyDescent="0.25">
      <c r="A107" s="256"/>
      <c r="B107" s="257"/>
      <c r="C107" s="257"/>
      <c r="D107" s="106"/>
      <c r="E107" s="106"/>
      <c r="F107" s="98"/>
      <c r="G107" s="177"/>
      <c r="H107" s="177"/>
      <c r="I107" s="51"/>
      <c r="J107" s="51"/>
      <c r="K107" s="51"/>
      <c r="L107" s="100"/>
      <c r="M107" s="100"/>
      <c r="N107" s="95"/>
      <c r="O107" s="95"/>
      <c r="P107" s="95"/>
      <c r="Q107" s="95"/>
      <c r="R107" s="95"/>
      <c r="S107" s="95"/>
      <c r="T107" s="95"/>
    </row>
    <row r="108" spans="1:20" x14ac:dyDescent="0.25">
      <c r="A108" s="256"/>
      <c r="B108" s="101"/>
      <c r="C108" s="102"/>
      <c r="D108" s="102"/>
      <c r="E108" s="102"/>
      <c r="F108" s="103"/>
      <c r="G108" s="103"/>
      <c r="H108" s="103"/>
      <c r="I108" s="104"/>
      <c r="J108" s="104"/>
      <c r="K108" s="104"/>
      <c r="L108" s="105"/>
      <c r="M108" s="105"/>
      <c r="N108" s="95"/>
      <c r="O108" s="95"/>
      <c r="P108" s="95"/>
      <c r="Q108" s="95"/>
      <c r="R108" s="95"/>
      <c r="S108" s="95"/>
      <c r="T108" s="95"/>
    </row>
    <row r="109" spans="1:20" x14ac:dyDescent="0.25">
      <c r="A109" s="256"/>
      <c r="B109" s="257"/>
      <c r="C109" s="257"/>
      <c r="D109" s="106"/>
      <c r="E109" s="106"/>
      <c r="F109" s="98"/>
      <c r="G109" s="177"/>
      <c r="H109" s="177"/>
      <c r="I109" s="51"/>
      <c r="J109" s="51"/>
      <c r="K109" s="51"/>
      <c r="L109" s="99"/>
      <c r="M109" s="100"/>
      <c r="N109" s="95"/>
      <c r="O109" s="95"/>
      <c r="P109" s="95"/>
      <c r="Q109" s="95"/>
      <c r="R109" s="95"/>
      <c r="S109" s="95"/>
      <c r="T109" s="95"/>
    </row>
    <row r="110" spans="1:20" x14ac:dyDescent="0.25">
      <c r="A110" s="256"/>
      <c r="B110" s="257"/>
      <c r="C110" s="257"/>
      <c r="D110" s="106"/>
      <c r="E110" s="106"/>
      <c r="F110" s="108"/>
      <c r="G110" s="108"/>
      <c r="H110" s="108"/>
      <c r="I110" s="110"/>
      <c r="J110" s="110"/>
      <c r="K110" s="110"/>
      <c r="L110" s="99"/>
      <c r="M110" s="100"/>
      <c r="N110" s="95"/>
      <c r="O110" s="95"/>
      <c r="P110" s="95"/>
      <c r="Q110" s="95"/>
      <c r="R110" s="95"/>
      <c r="S110" s="95"/>
      <c r="T110" s="95"/>
    </row>
    <row r="111" spans="1:20" x14ac:dyDescent="0.25">
      <c r="A111" s="256"/>
      <c r="B111" s="257"/>
      <c r="C111" s="257"/>
      <c r="D111" s="106"/>
      <c r="E111" s="106"/>
      <c r="F111" s="98"/>
      <c r="G111" s="177"/>
      <c r="H111" s="177"/>
      <c r="I111" s="51"/>
      <c r="J111" s="51"/>
      <c r="K111" s="51"/>
      <c r="L111" s="99"/>
      <c r="M111" s="100"/>
      <c r="N111" s="95"/>
      <c r="O111" s="95"/>
      <c r="P111" s="95"/>
      <c r="Q111" s="95"/>
      <c r="R111" s="95"/>
      <c r="S111" s="95"/>
      <c r="T111" s="95"/>
    </row>
    <row r="112" spans="1:20" x14ac:dyDescent="0.25">
      <c r="A112" s="256"/>
      <c r="B112" s="101"/>
      <c r="C112" s="102"/>
      <c r="D112" s="102"/>
      <c r="E112" s="102"/>
      <c r="F112" s="103"/>
      <c r="G112" s="103"/>
      <c r="H112" s="103"/>
      <c r="I112" s="104"/>
      <c r="J112" s="104"/>
      <c r="K112" s="104"/>
      <c r="L112" s="99"/>
      <c r="M112" s="105"/>
      <c r="N112" s="95"/>
      <c r="O112" s="95"/>
      <c r="P112" s="95"/>
      <c r="Q112" s="95"/>
      <c r="R112" s="95"/>
      <c r="S112" s="95"/>
      <c r="T112" s="95"/>
    </row>
    <row r="113" spans="1:20" x14ac:dyDescent="0.25">
      <c r="A113" s="256"/>
      <c r="B113" s="257"/>
      <c r="C113" s="257"/>
      <c r="D113" s="106"/>
      <c r="E113" s="106"/>
      <c r="F113" s="98"/>
      <c r="G113" s="177"/>
      <c r="H113" s="177"/>
      <c r="I113" s="51"/>
      <c r="J113" s="51"/>
      <c r="K113" s="51"/>
      <c r="L113" s="99"/>
      <c r="M113" s="100"/>
      <c r="N113" s="95"/>
      <c r="O113" s="95"/>
      <c r="P113" s="95"/>
      <c r="Q113" s="95"/>
      <c r="R113" s="95"/>
      <c r="S113" s="95"/>
      <c r="T113" s="95"/>
    </row>
    <row r="114" spans="1:20" x14ac:dyDescent="0.25">
      <c r="A114" s="256"/>
      <c r="B114" s="257"/>
      <c r="C114" s="257"/>
      <c r="D114" s="106"/>
      <c r="E114" s="106"/>
      <c r="F114" s="108"/>
      <c r="G114" s="108"/>
      <c r="H114" s="108"/>
      <c r="I114" s="110"/>
      <c r="J114" s="110"/>
      <c r="K114" s="110"/>
      <c r="L114" s="99"/>
      <c r="M114" s="100"/>
      <c r="N114" s="95"/>
      <c r="O114" s="95"/>
      <c r="P114" s="95"/>
      <c r="Q114" s="95"/>
      <c r="R114" s="95"/>
      <c r="S114" s="95"/>
      <c r="T114" s="95"/>
    </row>
    <row r="115" spans="1:20" x14ac:dyDescent="0.25">
      <c r="A115" s="256"/>
      <c r="B115" s="257"/>
      <c r="C115" s="257"/>
      <c r="D115" s="106"/>
      <c r="E115" s="106"/>
      <c r="F115" s="98"/>
      <c r="G115" s="177"/>
      <c r="H115" s="177"/>
      <c r="I115" s="51"/>
      <c r="J115" s="51"/>
      <c r="K115" s="51"/>
      <c r="L115" s="99"/>
      <c r="M115" s="100"/>
      <c r="N115" s="95"/>
      <c r="O115" s="95"/>
      <c r="P115" s="95"/>
      <c r="Q115" s="95"/>
      <c r="R115" s="95"/>
      <c r="S115" s="95"/>
      <c r="T115" s="95"/>
    </row>
    <row r="116" spans="1:20" x14ac:dyDescent="0.25">
      <c r="A116" s="256"/>
      <c r="B116" s="257"/>
      <c r="C116" s="257"/>
      <c r="D116" s="106"/>
      <c r="E116" s="106"/>
      <c r="F116" s="98"/>
      <c r="G116" s="177"/>
      <c r="H116" s="177"/>
      <c r="I116" s="51"/>
      <c r="J116" s="51"/>
      <c r="K116" s="51"/>
      <c r="L116" s="100"/>
      <c r="M116" s="100"/>
      <c r="N116" s="95"/>
      <c r="O116" s="95"/>
      <c r="P116" s="95"/>
      <c r="Q116" s="95"/>
      <c r="R116" s="95"/>
      <c r="S116" s="95"/>
      <c r="T116" s="95"/>
    </row>
    <row r="117" spans="1:20" x14ac:dyDescent="0.25">
      <c r="A117" s="256"/>
      <c r="B117" s="101"/>
      <c r="C117" s="102"/>
      <c r="D117" s="102"/>
      <c r="E117" s="102"/>
      <c r="F117" s="103"/>
      <c r="G117" s="103"/>
      <c r="H117" s="103"/>
      <c r="I117" s="104"/>
      <c r="J117" s="104"/>
      <c r="K117" s="104"/>
      <c r="L117" s="94"/>
      <c r="M117" s="105"/>
      <c r="N117" s="95"/>
      <c r="O117" s="95"/>
      <c r="P117" s="95"/>
      <c r="Q117" s="95"/>
      <c r="R117" s="95"/>
      <c r="S117" s="95"/>
      <c r="T117" s="95"/>
    </row>
    <row r="118" spans="1:20" x14ac:dyDescent="0.25">
      <c r="A118" s="256"/>
      <c r="B118" s="257"/>
      <c r="C118" s="257"/>
      <c r="D118" s="106"/>
      <c r="E118" s="106"/>
      <c r="F118" s="98"/>
      <c r="G118" s="177"/>
      <c r="H118" s="177"/>
      <c r="I118" s="51"/>
      <c r="J118" s="51"/>
      <c r="K118" s="51"/>
      <c r="L118" s="99"/>
      <c r="M118" s="100"/>
      <c r="N118" s="95"/>
      <c r="O118" s="95"/>
      <c r="P118" s="95"/>
      <c r="Q118" s="95"/>
      <c r="R118" s="95"/>
      <c r="S118" s="95"/>
      <c r="T118" s="95"/>
    </row>
    <row r="119" spans="1:20" x14ac:dyDescent="0.25">
      <c r="A119" s="256"/>
      <c r="B119" s="257"/>
      <c r="C119" s="257"/>
      <c r="D119" s="106"/>
      <c r="E119" s="106"/>
      <c r="F119" s="108"/>
      <c r="G119" s="108"/>
      <c r="H119" s="108"/>
      <c r="I119" s="110"/>
      <c r="J119" s="110"/>
      <c r="K119" s="110"/>
      <c r="L119" s="99"/>
      <c r="M119" s="100"/>
      <c r="N119" s="95"/>
      <c r="O119" s="95"/>
      <c r="P119" s="95"/>
      <c r="Q119" s="95"/>
      <c r="R119" s="95"/>
      <c r="S119" s="95"/>
      <c r="T119" s="95"/>
    </row>
    <row r="120" spans="1:20" x14ac:dyDescent="0.25">
      <c r="A120" s="256"/>
      <c r="B120" s="257"/>
      <c r="C120" s="257"/>
      <c r="D120" s="106"/>
      <c r="E120" s="106"/>
      <c r="F120" s="98"/>
      <c r="G120" s="177"/>
      <c r="H120" s="177"/>
      <c r="I120" s="51"/>
      <c r="J120" s="51"/>
      <c r="K120" s="51"/>
      <c r="L120" s="99"/>
      <c r="M120" s="100"/>
      <c r="N120" s="95"/>
      <c r="O120" s="95"/>
      <c r="P120" s="95"/>
      <c r="Q120" s="95"/>
      <c r="R120" s="95"/>
      <c r="S120" s="95"/>
      <c r="T120" s="95"/>
    </row>
    <row r="121" spans="1:20" x14ac:dyDescent="0.25">
      <c r="A121" s="256"/>
      <c r="B121" s="257"/>
      <c r="C121" s="257"/>
      <c r="D121" s="106"/>
      <c r="E121" s="106"/>
      <c r="F121" s="98"/>
      <c r="G121" s="177"/>
      <c r="H121" s="177"/>
      <c r="I121" s="51"/>
      <c r="J121" s="51"/>
      <c r="K121" s="51"/>
      <c r="L121" s="99"/>
      <c r="M121" s="100"/>
      <c r="N121" s="95"/>
      <c r="O121" s="95"/>
      <c r="P121" s="95"/>
      <c r="Q121" s="95"/>
      <c r="R121" s="95"/>
      <c r="S121" s="95"/>
      <c r="T121" s="95"/>
    </row>
    <row r="122" spans="1:20" x14ac:dyDescent="0.25">
      <c r="A122" s="256"/>
      <c r="B122" s="101"/>
      <c r="C122" s="102"/>
      <c r="D122" s="102"/>
      <c r="E122" s="102"/>
      <c r="F122" s="103"/>
      <c r="G122" s="103"/>
      <c r="H122" s="103"/>
      <c r="I122" s="104"/>
      <c r="J122" s="104"/>
      <c r="K122" s="104"/>
      <c r="L122" s="99"/>
      <c r="M122" s="105"/>
      <c r="N122" s="95"/>
      <c r="O122" s="95"/>
      <c r="P122" s="95"/>
      <c r="Q122" s="95"/>
      <c r="R122" s="95"/>
      <c r="S122" s="95"/>
      <c r="T122" s="95"/>
    </row>
    <row r="123" spans="1:20" x14ac:dyDescent="0.25">
      <c r="A123" s="256"/>
      <c r="B123" s="257"/>
      <c r="C123" s="257"/>
      <c r="D123" s="106"/>
      <c r="E123" s="106"/>
      <c r="F123" s="98"/>
      <c r="G123" s="177"/>
      <c r="H123" s="177"/>
      <c r="I123" s="51"/>
      <c r="J123" s="51"/>
      <c r="K123" s="51"/>
      <c r="L123" s="99"/>
      <c r="M123" s="100"/>
      <c r="N123" s="95"/>
      <c r="O123" s="95"/>
      <c r="P123" s="95"/>
      <c r="Q123" s="95"/>
      <c r="R123" s="95"/>
      <c r="S123" s="95"/>
      <c r="T123" s="95"/>
    </row>
    <row r="124" spans="1:20" x14ac:dyDescent="0.25">
      <c r="A124" s="256"/>
      <c r="B124" s="257"/>
      <c r="C124" s="257"/>
      <c r="D124" s="106"/>
      <c r="E124" s="106"/>
      <c r="F124" s="108"/>
      <c r="G124" s="108"/>
      <c r="H124" s="108"/>
      <c r="I124" s="110"/>
      <c r="J124" s="110"/>
      <c r="K124" s="110"/>
      <c r="L124" s="99"/>
      <c r="M124" s="100"/>
      <c r="N124" s="95"/>
      <c r="O124" s="95"/>
      <c r="P124" s="95"/>
      <c r="Q124" s="95"/>
      <c r="R124" s="95"/>
      <c r="S124" s="95"/>
      <c r="T124" s="95"/>
    </row>
    <row r="125" spans="1:20" x14ac:dyDescent="0.25">
      <c r="A125" s="256"/>
      <c r="B125" s="257"/>
      <c r="C125" s="257"/>
      <c r="D125" s="106"/>
      <c r="E125" s="106"/>
      <c r="F125" s="98"/>
      <c r="G125" s="177"/>
      <c r="H125" s="177"/>
      <c r="I125" s="51"/>
      <c r="J125" s="51"/>
      <c r="K125" s="51"/>
      <c r="L125" s="99"/>
      <c r="M125" s="100"/>
      <c r="N125" s="95"/>
      <c r="O125" s="95"/>
      <c r="P125" s="95"/>
      <c r="Q125" s="95"/>
      <c r="R125" s="95"/>
      <c r="S125" s="95"/>
      <c r="T125" s="95"/>
    </row>
    <row r="126" spans="1:20" x14ac:dyDescent="0.25">
      <c r="A126" s="256"/>
      <c r="B126" s="257"/>
      <c r="C126" s="257"/>
      <c r="D126" s="106"/>
      <c r="E126" s="106"/>
      <c r="F126" s="98"/>
      <c r="G126" s="177"/>
      <c r="H126" s="177"/>
      <c r="I126" s="51"/>
      <c r="J126" s="51"/>
      <c r="K126" s="51"/>
      <c r="L126" s="99"/>
      <c r="M126" s="100"/>
      <c r="N126" s="95"/>
      <c r="O126" s="95"/>
      <c r="P126" s="95"/>
      <c r="Q126" s="95"/>
      <c r="R126" s="95"/>
      <c r="S126" s="95"/>
      <c r="T126" s="95"/>
    </row>
    <row r="127" spans="1:20" x14ac:dyDescent="0.25">
      <c r="A127" s="256"/>
      <c r="B127" s="101"/>
      <c r="C127" s="102"/>
      <c r="D127" s="102"/>
      <c r="E127" s="102"/>
      <c r="F127" s="103"/>
      <c r="G127" s="103"/>
      <c r="H127" s="103"/>
      <c r="I127" s="104"/>
      <c r="J127" s="104"/>
      <c r="K127" s="104"/>
      <c r="L127" s="99"/>
      <c r="M127" s="105"/>
      <c r="N127" s="95"/>
      <c r="O127" s="95"/>
      <c r="P127" s="95"/>
      <c r="Q127" s="95"/>
      <c r="R127" s="95"/>
      <c r="S127" s="95"/>
      <c r="T127" s="95"/>
    </row>
    <row r="128" spans="1:20" x14ac:dyDescent="0.25">
      <c r="A128" s="256"/>
      <c r="B128" s="257"/>
      <c r="C128" s="257"/>
      <c r="D128" s="106"/>
      <c r="E128" s="106"/>
      <c r="F128" s="98"/>
      <c r="G128" s="177"/>
      <c r="H128" s="177"/>
      <c r="I128" s="51"/>
      <c r="J128" s="51"/>
      <c r="K128" s="51"/>
      <c r="L128" s="99"/>
      <c r="M128" s="100"/>
      <c r="N128" s="95"/>
      <c r="O128" s="95"/>
      <c r="P128" s="95"/>
      <c r="Q128" s="95"/>
      <c r="R128" s="95"/>
      <c r="S128" s="95"/>
      <c r="T128" s="95"/>
    </row>
    <row r="129" spans="1:20" x14ac:dyDescent="0.25">
      <c r="A129" s="256"/>
      <c r="B129" s="257"/>
      <c r="C129" s="257"/>
      <c r="D129" s="106"/>
      <c r="E129" s="106"/>
      <c r="F129" s="98"/>
      <c r="G129" s="177"/>
      <c r="H129" s="177"/>
      <c r="I129" s="51"/>
      <c r="J129" s="51"/>
      <c r="K129" s="51"/>
      <c r="L129" s="99"/>
      <c r="M129" s="100"/>
      <c r="N129" s="95"/>
      <c r="O129" s="95"/>
      <c r="P129" s="95"/>
      <c r="Q129" s="95"/>
      <c r="R129" s="95"/>
      <c r="S129" s="95"/>
      <c r="T129" s="95"/>
    </row>
    <row r="130" spans="1:20" x14ac:dyDescent="0.25">
      <c r="A130" s="256"/>
      <c r="B130" s="257"/>
      <c r="C130" s="257"/>
      <c r="D130" s="106"/>
      <c r="E130" s="106"/>
      <c r="F130" s="108"/>
      <c r="G130" s="108"/>
      <c r="H130" s="108"/>
      <c r="I130" s="110"/>
      <c r="J130" s="110"/>
      <c r="K130" s="110"/>
      <c r="L130" s="99"/>
      <c r="M130" s="100"/>
      <c r="N130" s="95"/>
      <c r="O130" s="95"/>
      <c r="P130" s="95"/>
      <c r="Q130" s="95"/>
      <c r="R130" s="95"/>
      <c r="S130" s="95"/>
      <c r="T130" s="95"/>
    </row>
    <row r="131" spans="1:20" x14ac:dyDescent="0.25">
      <c r="A131" s="256"/>
      <c r="B131" s="257"/>
      <c r="C131" s="257"/>
      <c r="D131" s="106"/>
      <c r="E131" s="106"/>
      <c r="F131" s="108"/>
      <c r="G131" s="108"/>
      <c r="H131" s="108"/>
      <c r="I131" s="110"/>
      <c r="J131" s="110"/>
      <c r="K131" s="110"/>
      <c r="L131" s="99"/>
      <c r="M131" s="100"/>
      <c r="N131" s="95"/>
      <c r="O131" s="95"/>
      <c r="P131" s="95"/>
      <c r="Q131" s="95"/>
      <c r="R131" s="95"/>
      <c r="S131" s="95"/>
      <c r="T131" s="95"/>
    </row>
    <row r="132" spans="1:20" x14ac:dyDescent="0.25">
      <c r="A132" s="256"/>
      <c r="B132" s="101"/>
      <c r="C132" s="102"/>
      <c r="D132" s="102"/>
      <c r="E132" s="102"/>
      <c r="F132" s="103"/>
      <c r="G132" s="103"/>
      <c r="H132" s="103"/>
      <c r="I132" s="104"/>
      <c r="J132" s="104"/>
      <c r="K132" s="104"/>
      <c r="L132" s="99"/>
      <c r="M132" s="105"/>
      <c r="N132" s="95"/>
      <c r="O132" s="95"/>
      <c r="P132" s="95"/>
      <c r="Q132" s="95"/>
      <c r="R132" s="95"/>
      <c r="S132" s="95"/>
      <c r="T132" s="95"/>
    </row>
    <row r="133" spans="1:20" x14ac:dyDescent="0.25">
      <c r="A133" s="256"/>
      <c r="B133" s="257"/>
      <c r="C133" s="257"/>
      <c r="D133" s="106"/>
      <c r="E133" s="106"/>
      <c r="F133" s="98"/>
      <c r="G133" s="177"/>
      <c r="H133" s="177"/>
      <c r="I133" s="51"/>
      <c r="J133" s="51"/>
      <c r="K133" s="51"/>
      <c r="L133" s="99"/>
      <c r="M133" s="100"/>
      <c r="N133" s="95"/>
      <c r="O133" s="95"/>
      <c r="P133" s="95"/>
      <c r="Q133" s="95"/>
      <c r="R133" s="95"/>
      <c r="S133" s="95"/>
      <c r="T133" s="95"/>
    </row>
    <row r="134" spans="1:20" x14ac:dyDescent="0.25">
      <c r="A134" s="256"/>
      <c r="B134" s="257"/>
      <c r="C134" s="257"/>
      <c r="D134" s="106"/>
      <c r="E134" s="106"/>
      <c r="F134" s="108"/>
      <c r="G134" s="108"/>
      <c r="H134" s="108"/>
      <c r="I134" s="110"/>
      <c r="J134" s="110"/>
      <c r="K134" s="110"/>
      <c r="L134" s="99"/>
      <c r="M134" s="100"/>
      <c r="N134" s="95"/>
      <c r="O134" s="95"/>
      <c r="P134" s="95"/>
      <c r="Q134" s="95"/>
      <c r="R134" s="95"/>
      <c r="S134" s="95"/>
      <c r="T134" s="95"/>
    </row>
    <row r="135" spans="1:20" x14ac:dyDescent="0.25">
      <c r="A135" s="256"/>
      <c r="B135" s="257"/>
      <c r="C135" s="257"/>
      <c r="D135" s="106"/>
      <c r="E135" s="106"/>
      <c r="F135" s="98"/>
      <c r="G135" s="177"/>
      <c r="H135" s="177"/>
      <c r="I135" s="51"/>
      <c r="J135" s="51"/>
      <c r="K135" s="51"/>
      <c r="L135" s="99"/>
      <c r="M135" s="100"/>
      <c r="N135" s="95"/>
      <c r="O135" s="95"/>
      <c r="P135" s="95"/>
      <c r="Q135" s="95"/>
      <c r="R135" s="95"/>
      <c r="S135" s="95"/>
      <c r="T135" s="95"/>
    </row>
    <row r="136" spans="1:20" x14ac:dyDescent="0.25">
      <c r="A136" s="256"/>
      <c r="B136" s="257"/>
      <c r="C136" s="257"/>
      <c r="D136" s="106"/>
      <c r="E136" s="106"/>
      <c r="F136" s="98"/>
      <c r="G136" s="177"/>
      <c r="H136" s="177"/>
      <c r="I136" s="51"/>
      <c r="J136" s="51"/>
      <c r="K136" s="51"/>
      <c r="L136" s="99"/>
      <c r="M136" s="100"/>
      <c r="N136" s="95"/>
      <c r="O136" s="95"/>
      <c r="P136" s="95"/>
      <c r="Q136" s="95"/>
      <c r="R136" s="95"/>
      <c r="S136" s="95"/>
      <c r="T136" s="95"/>
    </row>
    <row r="137" spans="1:20" x14ac:dyDescent="0.25">
      <c r="A137" s="256"/>
      <c r="B137" s="101"/>
      <c r="C137" s="102"/>
      <c r="D137" s="102"/>
      <c r="E137" s="102"/>
      <c r="F137" s="103"/>
      <c r="G137" s="103"/>
      <c r="H137" s="103"/>
      <c r="I137" s="104"/>
      <c r="J137" s="104"/>
      <c r="K137" s="104"/>
      <c r="L137" s="99"/>
      <c r="M137" s="105"/>
      <c r="N137" s="95"/>
      <c r="O137" s="95"/>
      <c r="P137" s="95"/>
      <c r="Q137" s="95"/>
      <c r="R137" s="95"/>
      <c r="S137" s="95"/>
      <c r="T137" s="95"/>
    </row>
    <row r="138" spans="1:20" x14ac:dyDescent="0.25">
      <c r="A138" s="256"/>
      <c r="B138" s="257"/>
      <c r="C138" s="257"/>
      <c r="D138" s="106"/>
      <c r="E138" s="106"/>
      <c r="F138" s="98"/>
      <c r="G138" s="177"/>
      <c r="H138" s="177"/>
      <c r="I138" s="51"/>
      <c r="J138" s="51"/>
      <c r="K138" s="51"/>
      <c r="L138" s="99"/>
      <c r="M138" s="100"/>
      <c r="N138" s="95"/>
      <c r="O138" s="95"/>
      <c r="P138" s="95"/>
      <c r="Q138" s="95"/>
      <c r="R138" s="95"/>
      <c r="S138" s="95"/>
      <c r="T138" s="95"/>
    </row>
    <row r="139" spans="1:20" x14ac:dyDescent="0.25">
      <c r="A139" s="256"/>
      <c r="B139" s="257"/>
      <c r="C139" s="257"/>
      <c r="D139" s="106"/>
      <c r="E139" s="106"/>
      <c r="F139" s="108"/>
      <c r="G139" s="108"/>
      <c r="H139" s="108"/>
      <c r="I139" s="110"/>
      <c r="J139" s="110"/>
      <c r="K139" s="110"/>
      <c r="L139" s="99"/>
      <c r="M139" s="100"/>
      <c r="N139" s="95"/>
      <c r="O139" s="95"/>
      <c r="P139" s="95"/>
      <c r="Q139" s="95"/>
      <c r="R139" s="95"/>
      <c r="S139" s="95"/>
      <c r="T139" s="95"/>
    </row>
    <row r="140" spans="1:20" x14ac:dyDescent="0.25">
      <c r="A140" s="256"/>
      <c r="B140" s="257"/>
      <c r="C140" s="257"/>
      <c r="D140" s="106"/>
      <c r="E140" s="106"/>
      <c r="F140" s="98"/>
      <c r="G140" s="177"/>
      <c r="H140" s="177"/>
      <c r="I140" s="51"/>
      <c r="J140" s="51"/>
      <c r="K140" s="51"/>
      <c r="L140" s="99"/>
      <c r="M140" s="100"/>
      <c r="N140" s="95"/>
      <c r="O140" s="95"/>
      <c r="P140" s="95"/>
      <c r="Q140" s="95"/>
      <c r="R140" s="95"/>
      <c r="S140" s="95"/>
      <c r="T140" s="95"/>
    </row>
    <row r="141" spans="1:20" x14ac:dyDescent="0.25">
      <c r="A141" s="256"/>
      <c r="B141" s="257"/>
      <c r="C141" s="257"/>
      <c r="D141" s="106"/>
      <c r="E141" s="106"/>
      <c r="F141" s="98"/>
      <c r="G141" s="177"/>
      <c r="H141" s="177"/>
      <c r="I141" s="51"/>
      <c r="J141" s="51"/>
      <c r="K141" s="51"/>
      <c r="L141" s="99"/>
      <c r="M141" s="100"/>
      <c r="N141" s="95"/>
      <c r="O141" s="95"/>
      <c r="P141" s="95"/>
      <c r="Q141" s="95"/>
      <c r="R141" s="95"/>
      <c r="S141" s="95"/>
      <c r="T141" s="95"/>
    </row>
    <row r="142" spans="1:20" x14ac:dyDescent="0.25">
      <c r="A142" s="256"/>
      <c r="B142" s="101"/>
      <c r="C142" s="102"/>
      <c r="D142" s="102"/>
      <c r="E142" s="102"/>
      <c r="F142" s="103"/>
      <c r="G142" s="103"/>
      <c r="H142" s="103"/>
      <c r="I142" s="104"/>
      <c r="J142" s="104"/>
      <c r="K142" s="104"/>
      <c r="L142" s="99"/>
      <c r="M142" s="105"/>
      <c r="N142" s="95"/>
      <c r="O142" s="95"/>
      <c r="P142" s="95"/>
      <c r="Q142" s="95"/>
      <c r="R142" s="95"/>
      <c r="S142" s="95"/>
      <c r="T142" s="95"/>
    </row>
    <row r="143" spans="1:20" x14ac:dyDescent="0.25">
      <c r="A143" s="256"/>
      <c r="B143" s="257"/>
      <c r="C143" s="257"/>
      <c r="D143" s="106"/>
      <c r="E143" s="106"/>
      <c r="F143" s="98"/>
      <c r="G143" s="177"/>
      <c r="H143" s="177"/>
      <c r="I143" s="51"/>
      <c r="J143" s="51"/>
      <c r="K143" s="51"/>
      <c r="L143" s="99"/>
      <c r="M143" s="100"/>
      <c r="N143" s="95"/>
      <c r="O143" s="95"/>
      <c r="P143" s="95"/>
      <c r="Q143" s="95"/>
      <c r="R143" s="95"/>
      <c r="S143" s="95"/>
      <c r="T143" s="95"/>
    </row>
    <row r="144" spans="1:20" x14ac:dyDescent="0.25">
      <c r="A144" s="256"/>
      <c r="B144" s="257"/>
      <c r="C144" s="257"/>
      <c r="D144" s="106"/>
      <c r="E144" s="106"/>
      <c r="F144" s="108"/>
      <c r="G144" s="108"/>
      <c r="H144" s="108"/>
      <c r="I144" s="110"/>
      <c r="J144" s="110"/>
      <c r="K144" s="110"/>
      <c r="L144" s="99"/>
      <c r="M144" s="100"/>
      <c r="N144" s="95"/>
      <c r="O144" s="95"/>
      <c r="P144" s="95"/>
      <c r="Q144" s="95"/>
      <c r="R144" s="95"/>
      <c r="S144" s="95"/>
      <c r="T144" s="95"/>
    </row>
    <row r="145" spans="1:20" x14ac:dyDescent="0.25">
      <c r="A145" s="256"/>
      <c r="B145" s="257"/>
      <c r="C145" s="257"/>
      <c r="D145" s="106"/>
      <c r="E145" s="106"/>
      <c r="F145" s="98"/>
      <c r="G145" s="177"/>
      <c r="H145" s="177"/>
      <c r="I145" s="51"/>
      <c r="J145" s="51"/>
      <c r="K145" s="51"/>
      <c r="L145" s="99"/>
      <c r="M145" s="100"/>
      <c r="N145" s="95"/>
      <c r="O145" s="95"/>
      <c r="P145" s="95"/>
      <c r="Q145" s="95"/>
      <c r="R145" s="95"/>
      <c r="S145" s="95"/>
      <c r="T145" s="95"/>
    </row>
    <row r="146" spans="1:20" x14ac:dyDescent="0.25">
      <c r="A146" s="256"/>
      <c r="B146" s="257"/>
      <c r="C146" s="257"/>
      <c r="D146" s="106"/>
      <c r="E146" s="106"/>
      <c r="F146" s="98"/>
      <c r="G146" s="177"/>
      <c r="H146" s="177"/>
      <c r="I146" s="51"/>
      <c r="J146" s="51"/>
      <c r="K146" s="51"/>
      <c r="L146" s="99"/>
      <c r="M146" s="100"/>
      <c r="N146" s="95"/>
      <c r="O146" s="95"/>
      <c r="P146" s="95"/>
      <c r="Q146" s="95"/>
      <c r="R146" s="95"/>
      <c r="S146" s="95"/>
      <c r="T146" s="95"/>
    </row>
    <row r="147" spans="1:20" x14ac:dyDescent="0.25">
      <c r="A147" s="256"/>
      <c r="B147" s="101"/>
      <c r="C147" s="102"/>
      <c r="D147" s="102"/>
      <c r="E147" s="102"/>
      <c r="F147" s="103"/>
      <c r="G147" s="103"/>
      <c r="H147" s="103"/>
      <c r="I147" s="104"/>
      <c r="J147" s="104"/>
      <c r="K147" s="104"/>
      <c r="L147" s="99"/>
      <c r="M147" s="105"/>
      <c r="N147" s="95"/>
      <c r="O147" s="95"/>
      <c r="P147" s="95"/>
      <c r="Q147" s="95"/>
      <c r="R147" s="95"/>
      <c r="S147" s="95"/>
      <c r="T147" s="95"/>
    </row>
    <row r="148" spans="1:20" x14ac:dyDescent="0.25">
      <c r="A148" s="256"/>
      <c r="B148" s="257"/>
      <c r="C148" s="257"/>
      <c r="D148" s="106"/>
      <c r="E148" s="106"/>
      <c r="F148" s="98"/>
      <c r="G148" s="177"/>
      <c r="H148" s="177"/>
      <c r="I148" s="51"/>
      <c r="J148" s="51"/>
      <c r="K148" s="51"/>
      <c r="L148" s="99"/>
      <c r="M148" s="100"/>
      <c r="N148" s="95"/>
      <c r="O148" s="95"/>
      <c r="P148" s="95"/>
      <c r="Q148" s="95"/>
      <c r="R148" s="95"/>
      <c r="S148" s="95"/>
      <c r="T148" s="95"/>
    </row>
    <row r="149" spans="1:20" x14ac:dyDescent="0.25">
      <c r="A149" s="256"/>
      <c r="B149" s="257"/>
      <c r="C149" s="257"/>
      <c r="D149" s="106"/>
      <c r="E149" s="106"/>
      <c r="F149" s="108"/>
      <c r="G149" s="108"/>
      <c r="H149" s="108"/>
      <c r="I149" s="110"/>
      <c r="J149" s="110"/>
      <c r="K149" s="110"/>
      <c r="L149" s="99"/>
      <c r="M149" s="100"/>
      <c r="N149" s="95"/>
      <c r="O149" s="95"/>
      <c r="P149" s="95"/>
      <c r="Q149" s="95"/>
      <c r="R149" s="95"/>
      <c r="S149" s="95"/>
      <c r="T149" s="95"/>
    </row>
    <row r="150" spans="1:20" x14ac:dyDescent="0.25">
      <c r="A150" s="256"/>
      <c r="B150" s="257"/>
      <c r="C150" s="257"/>
      <c r="D150" s="106"/>
      <c r="E150" s="106"/>
      <c r="F150" s="98"/>
      <c r="G150" s="177"/>
      <c r="H150" s="177"/>
      <c r="I150" s="51"/>
      <c r="J150" s="51"/>
      <c r="K150" s="51"/>
      <c r="L150" s="99"/>
      <c r="M150" s="100"/>
      <c r="N150" s="95"/>
      <c r="O150" s="95"/>
      <c r="P150" s="95"/>
      <c r="Q150" s="95"/>
      <c r="R150" s="95"/>
      <c r="S150" s="95"/>
      <c r="T150" s="95"/>
    </row>
    <row r="151" spans="1:20" x14ac:dyDescent="0.25">
      <c r="A151" s="256"/>
      <c r="B151" s="257"/>
      <c r="C151" s="257"/>
      <c r="D151" s="106"/>
      <c r="E151" s="106"/>
      <c r="F151" s="98"/>
      <c r="G151" s="177"/>
      <c r="H151" s="177"/>
      <c r="I151" s="51"/>
      <c r="J151" s="51"/>
      <c r="K151" s="51"/>
      <c r="L151" s="99"/>
      <c r="M151" s="100"/>
      <c r="N151" s="95"/>
      <c r="O151" s="95"/>
      <c r="P151" s="95"/>
      <c r="Q151" s="95"/>
      <c r="R151" s="95"/>
      <c r="S151" s="95"/>
      <c r="T151" s="95"/>
    </row>
    <row r="152" spans="1:20" x14ac:dyDescent="0.25">
      <c r="A152" s="256"/>
      <c r="B152" s="101"/>
      <c r="C152" s="102"/>
      <c r="D152" s="102"/>
      <c r="E152" s="102"/>
      <c r="F152" s="103"/>
      <c r="G152" s="103"/>
      <c r="H152" s="103"/>
      <c r="I152" s="104"/>
      <c r="J152" s="104"/>
      <c r="K152" s="104"/>
      <c r="L152" s="99"/>
      <c r="M152" s="105"/>
      <c r="N152" s="95"/>
      <c r="O152" s="95"/>
      <c r="P152" s="95"/>
      <c r="Q152" s="95"/>
      <c r="R152" s="95"/>
      <c r="S152" s="95"/>
      <c r="T152" s="95"/>
    </row>
    <row r="153" spans="1:20" x14ac:dyDescent="0.25">
      <c r="A153" s="256"/>
      <c r="B153" s="257"/>
      <c r="C153" s="257"/>
      <c r="D153" s="106"/>
      <c r="E153" s="106"/>
      <c r="F153" s="98"/>
      <c r="G153" s="177"/>
      <c r="H153" s="177"/>
      <c r="I153" s="51"/>
      <c r="J153" s="51"/>
      <c r="K153" s="51"/>
      <c r="L153" s="99"/>
      <c r="M153" s="100"/>
      <c r="N153" s="95"/>
      <c r="O153" s="95"/>
      <c r="P153" s="95"/>
      <c r="Q153" s="95"/>
      <c r="R153" s="95"/>
      <c r="S153" s="95"/>
      <c r="T153" s="95"/>
    </row>
    <row r="154" spans="1:20" x14ac:dyDescent="0.25">
      <c r="A154" s="256"/>
      <c r="B154" s="257"/>
      <c r="C154" s="257"/>
      <c r="D154" s="106"/>
      <c r="E154" s="106"/>
      <c r="F154" s="108"/>
      <c r="G154" s="108"/>
      <c r="H154" s="108"/>
      <c r="I154" s="110"/>
      <c r="J154" s="110"/>
      <c r="K154" s="110"/>
      <c r="L154" s="99"/>
      <c r="M154" s="100"/>
      <c r="N154" s="95"/>
      <c r="O154" s="95"/>
      <c r="P154" s="95"/>
      <c r="Q154" s="95"/>
      <c r="R154" s="95"/>
      <c r="S154" s="95"/>
      <c r="T154" s="95"/>
    </row>
    <row r="155" spans="1:20" x14ac:dyDescent="0.25">
      <c r="A155" s="256"/>
      <c r="B155" s="257"/>
      <c r="C155" s="257"/>
      <c r="D155" s="106"/>
      <c r="E155" s="106"/>
      <c r="F155" s="98"/>
      <c r="G155" s="177"/>
      <c r="H155" s="177"/>
      <c r="I155" s="51"/>
      <c r="J155" s="51"/>
      <c r="K155" s="51"/>
      <c r="L155" s="99"/>
      <c r="M155" s="100"/>
      <c r="N155" s="95"/>
      <c r="O155" s="95"/>
      <c r="P155" s="95"/>
      <c r="Q155" s="95"/>
      <c r="R155" s="95"/>
      <c r="S155" s="95"/>
      <c r="T155" s="95"/>
    </row>
    <row r="156" spans="1:20" x14ac:dyDescent="0.25">
      <c r="A156" s="256"/>
      <c r="B156" s="257"/>
      <c r="C156" s="257"/>
      <c r="D156" s="106"/>
      <c r="E156" s="106"/>
      <c r="F156" s="98"/>
      <c r="G156" s="177"/>
      <c r="H156" s="177"/>
      <c r="I156" s="51"/>
      <c r="J156" s="51"/>
      <c r="K156" s="51"/>
      <c r="L156" s="100"/>
      <c r="M156" s="100"/>
      <c r="N156" s="95"/>
      <c r="O156" s="95"/>
      <c r="P156" s="95"/>
      <c r="Q156" s="95"/>
      <c r="R156" s="95"/>
      <c r="S156" s="95"/>
      <c r="T156" s="95"/>
    </row>
    <row r="157" spans="1:20" x14ac:dyDescent="0.25">
      <c r="A157" s="256"/>
      <c r="B157" s="101"/>
      <c r="C157" s="102"/>
      <c r="D157" s="102"/>
      <c r="E157" s="102"/>
      <c r="F157" s="103"/>
      <c r="G157" s="103"/>
      <c r="H157" s="103"/>
      <c r="I157" s="104"/>
      <c r="J157" s="104"/>
      <c r="K157" s="104"/>
      <c r="L157" s="94"/>
      <c r="M157" s="105"/>
      <c r="N157" s="95"/>
      <c r="O157" s="95"/>
      <c r="P157" s="95"/>
      <c r="Q157" s="95"/>
      <c r="R157" s="95"/>
      <c r="S157" s="95"/>
      <c r="T157" s="95"/>
    </row>
    <row r="158" spans="1:20" x14ac:dyDescent="0.25">
      <c r="A158" s="256"/>
      <c r="B158" s="257"/>
      <c r="C158" s="257"/>
      <c r="D158" s="106"/>
      <c r="E158" s="106"/>
      <c r="F158" s="98"/>
      <c r="G158" s="177"/>
      <c r="H158" s="177"/>
      <c r="I158" s="51"/>
      <c r="J158" s="51"/>
      <c r="K158" s="51"/>
      <c r="L158" s="99"/>
      <c r="M158" s="100"/>
      <c r="N158" s="95"/>
      <c r="O158" s="95"/>
      <c r="P158" s="95"/>
      <c r="Q158" s="95"/>
      <c r="R158" s="95"/>
      <c r="S158" s="95"/>
      <c r="T158" s="95"/>
    </row>
    <row r="159" spans="1:20" x14ac:dyDescent="0.25">
      <c r="A159" s="256"/>
      <c r="B159" s="257"/>
      <c r="C159" s="257"/>
      <c r="D159" s="106"/>
      <c r="E159" s="106"/>
      <c r="F159" s="98"/>
      <c r="G159" s="177"/>
      <c r="H159" s="177"/>
      <c r="I159" s="51"/>
      <c r="J159" s="51"/>
      <c r="K159" s="51"/>
      <c r="L159" s="99"/>
      <c r="M159" s="100"/>
      <c r="N159" s="95"/>
      <c r="O159" s="95"/>
      <c r="P159" s="95"/>
      <c r="Q159" s="95"/>
      <c r="R159" s="95"/>
      <c r="S159" s="95"/>
      <c r="T159" s="95"/>
    </row>
    <row r="160" spans="1:20" x14ac:dyDescent="0.25">
      <c r="A160" s="256"/>
      <c r="B160" s="257"/>
      <c r="C160" s="257"/>
      <c r="D160" s="106"/>
      <c r="E160" s="106"/>
      <c r="F160" s="108"/>
      <c r="G160" s="108"/>
      <c r="H160" s="108"/>
      <c r="I160" s="110"/>
      <c r="J160" s="110"/>
      <c r="K160" s="110"/>
      <c r="L160" s="99"/>
      <c r="M160" s="100"/>
      <c r="N160" s="95"/>
      <c r="O160" s="95"/>
      <c r="P160" s="95"/>
      <c r="Q160" s="95"/>
      <c r="R160" s="95"/>
      <c r="S160" s="95"/>
      <c r="T160" s="95"/>
    </row>
    <row r="161" spans="1:20" x14ac:dyDescent="0.25">
      <c r="A161" s="256"/>
      <c r="B161" s="257"/>
      <c r="C161" s="257"/>
      <c r="D161" s="106"/>
      <c r="E161" s="106"/>
      <c r="F161" s="108"/>
      <c r="G161" s="108"/>
      <c r="H161" s="108"/>
      <c r="I161" s="110"/>
      <c r="J161" s="110"/>
      <c r="K161" s="110"/>
      <c r="L161" s="99"/>
      <c r="M161" s="100"/>
      <c r="N161" s="95"/>
      <c r="O161" s="95"/>
      <c r="P161" s="95"/>
      <c r="Q161" s="95"/>
      <c r="R161" s="95"/>
      <c r="S161" s="95"/>
      <c r="T161" s="95"/>
    </row>
    <row r="162" spans="1:20" x14ac:dyDescent="0.25">
      <c r="A162" s="256"/>
      <c r="B162" s="101"/>
      <c r="C162" s="102"/>
      <c r="D162" s="102"/>
      <c r="E162" s="102"/>
      <c r="F162" s="103"/>
      <c r="G162" s="103"/>
      <c r="H162" s="103"/>
      <c r="I162" s="104"/>
      <c r="J162" s="104"/>
      <c r="K162" s="104"/>
      <c r="L162" s="99"/>
      <c r="M162" s="105"/>
      <c r="N162" s="95"/>
      <c r="O162" s="95"/>
      <c r="P162" s="95"/>
      <c r="Q162" s="95"/>
      <c r="R162" s="95"/>
      <c r="S162" s="95"/>
      <c r="T162" s="95"/>
    </row>
    <row r="163" spans="1:20" x14ac:dyDescent="0.25">
      <c r="A163" s="256"/>
      <c r="B163" s="257"/>
      <c r="C163" s="257"/>
      <c r="D163" s="106"/>
      <c r="E163" s="106"/>
      <c r="F163" s="98"/>
      <c r="G163" s="177"/>
      <c r="H163" s="177"/>
      <c r="I163" s="51"/>
      <c r="J163" s="51"/>
      <c r="K163" s="51"/>
      <c r="L163" s="99"/>
      <c r="M163" s="100"/>
      <c r="N163" s="95"/>
      <c r="O163" s="95"/>
      <c r="P163" s="95"/>
      <c r="Q163" s="95"/>
      <c r="R163" s="95"/>
      <c r="S163" s="95"/>
      <c r="T163" s="95"/>
    </row>
    <row r="164" spans="1:20" x14ac:dyDescent="0.25">
      <c r="A164" s="256"/>
      <c r="B164" s="257"/>
      <c r="C164" s="257"/>
      <c r="D164" s="106"/>
      <c r="E164" s="106"/>
      <c r="F164" s="98"/>
      <c r="G164" s="177"/>
      <c r="H164" s="177"/>
      <c r="I164" s="51"/>
      <c r="J164" s="51"/>
      <c r="K164" s="51"/>
      <c r="L164" s="99"/>
      <c r="M164" s="100"/>
      <c r="N164" s="95"/>
      <c r="O164" s="95"/>
      <c r="P164" s="95"/>
      <c r="Q164" s="95"/>
      <c r="R164" s="95"/>
      <c r="S164" s="95"/>
      <c r="T164" s="95"/>
    </row>
    <row r="165" spans="1:20" x14ac:dyDescent="0.25">
      <c r="A165" s="256"/>
      <c r="B165" s="257"/>
      <c r="C165" s="257"/>
      <c r="D165" s="106"/>
      <c r="E165" s="106"/>
      <c r="F165" s="98"/>
      <c r="G165" s="177"/>
      <c r="H165" s="177"/>
      <c r="I165" s="51"/>
      <c r="J165" s="51"/>
      <c r="K165" s="51"/>
      <c r="L165" s="99"/>
      <c r="M165" s="100"/>
      <c r="N165" s="95"/>
      <c r="O165" s="95"/>
      <c r="P165" s="95"/>
      <c r="Q165" s="95"/>
      <c r="R165" s="95"/>
      <c r="S165" s="95"/>
      <c r="T165" s="95"/>
    </row>
    <row r="166" spans="1:20" x14ac:dyDescent="0.25">
      <c r="A166" s="256"/>
      <c r="B166" s="257"/>
      <c r="C166" s="257"/>
      <c r="D166" s="106"/>
      <c r="E166" s="106"/>
      <c r="F166" s="98"/>
      <c r="G166" s="177"/>
      <c r="H166" s="177"/>
      <c r="I166" s="51"/>
      <c r="J166" s="51"/>
      <c r="K166" s="51"/>
      <c r="L166" s="99"/>
      <c r="M166" s="100"/>
      <c r="N166" s="95"/>
      <c r="O166" s="95"/>
      <c r="P166" s="95"/>
      <c r="Q166" s="95"/>
      <c r="R166" s="95"/>
      <c r="S166" s="95"/>
      <c r="T166" s="95"/>
    </row>
    <row r="167" spans="1:20" x14ac:dyDescent="0.25">
      <c r="A167" s="256"/>
      <c r="B167" s="101"/>
      <c r="C167" s="102"/>
      <c r="D167" s="102"/>
      <c r="E167" s="102"/>
      <c r="F167" s="103"/>
      <c r="G167" s="103"/>
      <c r="H167" s="103"/>
      <c r="I167" s="104"/>
      <c r="J167" s="104"/>
      <c r="K167" s="104"/>
      <c r="L167" s="99"/>
      <c r="M167" s="105"/>
      <c r="N167" s="95"/>
      <c r="O167" s="95"/>
      <c r="P167" s="95"/>
      <c r="Q167" s="95"/>
      <c r="R167" s="95"/>
      <c r="S167" s="95"/>
      <c r="T167" s="95"/>
    </row>
    <row r="168" spans="1:20" x14ac:dyDescent="0.25">
      <c r="A168" s="256"/>
      <c r="B168" s="257"/>
      <c r="C168" s="257"/>
      <c r="D168" s="106"/>
      <c r="E168" s="106"/>
      <c r="F168" s="98"/>
      <c r="G168" s="177"/>
      <c r="H168" s="177"/>
      <c r="I168" s="51"/>
      <c r="J168" s="51"/>
      <c r="K168" s="51"/>
      <c r="L168" s="99"/>
      <c r="M168" s="100"/>
      <c r="N168" s="95"/>
      <c r="O168" s="95"/>
      <c r="P168" s="95"/>
      <c r="Q168" s="95"/>
      <c r="R168" s="95"/>
      <c r="S168" s="95"/>
      <c r="T168" s="95"/>
    </row>
    <row r="169" spans="1:20" x14ac:dyDescent="0.25">
      <c r="A169" s="256"/>
      <c r="B169" s="257"/>
      <c r="C169" s="257"/>
      <c r="D169" s="106"/>
      <c r="E169" s="106"/>
      <c r="F169" s="98"/>
      <c r="G169" s="177"/>
      <c r="H169" s="177"/>
      <c r="I169" s="110"/>
      <c r="J169" s="110"/>
      <c r="K169" s="110"/>
      <c r="L169" s="99"/>
      <c r="M169" s="100"/>
      <c r="N169" s="95"/>
      <c r="O169" s="95"/>
      <c r="P169" s="95"/>
      <c r="Q169" s="95"/>
      <c r="R169" s="95"/>
      <c r="S169" s="95"/>
      <c r="T169" s="95"/>
    </row>
    <row r="170" spans="1:20" x14ac:dyDescent="0.25">
      <c r="A170" s="256"/>
      <c r="B170" s="257"/>
      <c r="C170" s="257"/>
      <c r="D170" s="106"/>
      <c r="E170" s="106"/>
      <c r="F170" s="98"/>
      <c r="G170" s="177"/>
      <c r="H170" s="177"/>
      <c r="I170" s="51"/>
      <c r="J170" s="51"/>
      <c r="K170" s="51"/>
      <c r="L170" s="99"/>
      <c r="M170" s="100"/>
      <c r="N170" s="95"/>
      <c r="O170" s="95"/>
      <c r="P170" s="95"/>
      <c r="Q170" s="95"/>
      <c r="R170" s="95"/>
      <c r="S170" s="95"/>
      <c r="T170" s="95"/>
    </row>
    <row r="171" spans="1:20" x14ac:dyDescent="0.25">
      <c r="A171" s="256"/>
      <c r="B171" s="257"/>
      <c r="C171" s="257"/>
      <c r="D171" s="106"/>
      <c r="E171" s="106"/>
      <c r="F171" s="98"/>
      <c r="G171" s="177"/>
      <c r="H171" s="177"/>
      <c r="I171" s="51"/>
      <c r="J171" s="51"/>
      <c r="K171" s="51"/>
      <c r="L171" s="99"/>
      <c r="M171" s="100"/>
      <c r="N171" s="95"/>
      <c r="O171" s="95"/>
      <c r="P171" s="95"/>
      <c r="Q171" s="95"/>
      <c r="R171" s="95"/>
      <c r="S171" s="95"/>
      <c r="T171" s="95"/>
    </row>
    <row r="172" spans="1:20" x14ac:dyDescent="0.25">
      <c r="A172" s="256"/>
      <c r="B172" s="101"/>
      <c r="C172" s="102"/>
      <c r="D172" s="102"/>
      <c r="E172" s="102"/>
      <c r="F172" s="103"/>
      <c r="G172" s="103"/>
      <c r="H172" s="103"/>
      <c r="I172" s="104"/>
      <c r="J172" s="104"/>
      <c r="K172" s="104"/>
      <c r="L172" s="99"/>
      <c r="M172" s="105"/>
      <c r="N172" s="95"/>
      <c r="O172" s="95"/>
      <c r="P172" s="95"/>
      <c r="Q172" s="95"/>
      <c r="R172" s="95"/>
      <c r="S172" s="95"/>
      <c r="T172" s="95"/>
    </row>
    <row r="173" spans="1:20" x14ac:dyDescent="0.25">
      <c r="A173" s="256"/>
      <c r="B173" s="257"/>
      <c r="C173" s="257"/>
      <c r="D173" s="106"/>
      <c r="E173" s="106"/>
      <c r="F173" s="98"/>
      <c r="G173" s="177"/>
      <c r="H173" s="177"/>
      <c r="I173" s="51"/>
      <c r="J173" s="51"/>
      <c r="K173" s="51"/>
      <c r="L173" s="99"/>
      <c r="M173" s="100"/>
      <c r="N173" s="95"/>
      <c r="O173" s="95"/>
      <c r="P173" s="95"/>
      <c r="Q173" s="95"/>
      <c r="R173" s="95"/>
      <c r="S173" s="95"/>
      <c r="T173" s="95"/>
    </row>
    <row r="174" spans="1:20" x14ac:dyDescent="0.25">
      <c r="A174" s="256"/>
      <c r="B174" s="257"/>
      <c r="C174" s="257"/>
      <c r="D174" s="106"/>
      <c r="E174" s="106"/>
      <c r="F174" s="98"/>
      <c r="G174" s="177"/>
      <c r="H174" s="177"/>
      <c r="I174" s="110"/>
      <c r="J174" s="110"/>
      <c r="K174" s="110"/>
      <c r="L174" s="99"/>
      <c r="M174" s="100"/>
      <c r="N174" s="95"/>
      <c r="O174" s="95"/>
      <c r="P174" s="95"/>
      <c r="Q174" s="95"/>
      <c r="R174" s="95"/>
      <c r="S174" s="95"/>
      <c r="T174" s="95"/>
    </row>
    <row r="175" spans="1:20" x14ac:dyDescent="0.25">
      <c r="A175" s="256"/>
      <c r="B175" s="257"/>
      <c r="C175" s="257"/>
      <c r="D175" s="106"/>
      <c r="E175" s="106"/>
      <c r="F175" s="98"/>
      <c r="G175" s="177"/>
      <c r="H175" s="177"/>
      <c r="I175" s="51"/>
      <c r="J175" s="51"/>
      <c r="K175" s="51"/>
      <c r="L175" s="99"/>
      <c r="M175" s="100"/>
      <c r="N175" s="95"/>
      <c r="O175" s="95"/>
      <c r="P175" s="95"/>
      <c r="Q175" s="95"/>
      <c r="R175" s="95"/>
      <c r="S175" s="95"/>
      <c r="T175" s="95"/>
    </row>
    <row r="176" spans="1:20" x14ac:dyDescent="0.25">
      <c r="A176" s="256"/>
      <c r="B176" s="257"/>
      <c r="C176" s="257"/>
      <c r="D176" s="106"/>
      <c r="E176" s="106"/>
      <c r="F176" s="98"/>
      <c r="G176" s="177"/>
      <c r="H176" s="177"/>
      <c r="I176" s="51"/>
      <c r="J176" s="51"/>
      <c r="K176" s="51"/>
      <c r="L176" s="99"/>
      <c r="M176" s="100"/>
      <c r="N176" s="95"/>
      <c r="O176" s="95"/>
      <c r="P176" s="95"/>
      <c r="Q176" s="95"/>
      <c r="R176" s="95"/>
      <c r="S176" s="95"/>
      <c r="T176" s="95"/>
    </row>
    <row r="177" spans="1:20" x14ac:dyDescent="0.25">
      <c r="A177" s="256"/>
      <c r="B177" s="101"/>
      <c r="C177" s="102"/>
      <c r="D177" s="102"/>
      <c r="E177" s="102"/>
      <c r="F177" s="103"/>
      <c r="G177" s="103"/>
      <c r="H177" s="103"/>
      <c r="I177" s="104"/>
      <c r="J177" s="104"/>
      <c r="K177" s="104"/>
      <c r="L177" s="99"/>
      <c r="M177" s="105"/>
      <c r="N177" s="95"/>
      <c r="O177" s="95"/>
      <c r="P177" s="95"/>
      <c r="Q177" s="95"/>
      <c r="R177" s="95"/>
      <c r="S177" s="95"/>
      <c r="T177" s="95"/>
    </row>
    <row r="178" spans="1:20" x14ac:dyDescent="0.25">
      <c r="A178" s="256"/>
      <c r="B178" s="257"/>
      <c r="C178" s="257"/>
      <c r="D178" s="106"/>
      <c r="E178" s="106"/>
      <c r="F178" s="98"/>
      <c r="G178" s="177"/>
      <c r="H178" s="177"/>
      <c r="I178" s="51"/>
      <c r="J178" s="51"/>
      <c r="K178" s="51"/>
      <c r="L178" s="99"/>
      <c r="M178" s="100"/>
      <c r="N178" s="95"/>
      <c r="O178" s="95"/>
      <c r="P178" s="95"/>
      <c r="Q178" s="95"/>
      <c r="R178" s="95"/>
      <c r="S178" s="95"/>
      <c r="T178" s="95"/>
    </row>
    <row r="179" spans="1:20" x14ac:dyDescent="0.25">
      <c r="A179" s="256"/>
      <c r="B179" s="257"/>
      <c r="C179" s="257"/>
      <c r="D179" s="106"/>
      <c r="E179" s="106"/>
      <c r="F179" s="98"/>
      <c r="G179" s="177"/>
      <c r="H179" s="177"/>
      <c r="I179" s="51"/>
      <c r="J179" s="51"/>
      <c r="K179" s="51"/>
      <c r="L179" s="99"/>
      <c r="M179" s="100"/>
      <c r="N179" s="95"/>
      <c r="O179" s="95"/>
      <c r="P179" s="95"/>
      <c r="Q179" s="95"/>
      <c r="R179" s="95"/>
      <c r="S179" s="95"/>
      <c r="T179" s="95"/>
    </row>
    <row r="180" spans="1:20" x14ac:dyDescent="0.25">
      <c r="A180" s="256"/>
      <c r="B180" s="257"/>
      <c r="C180" s="257"/>
      <c r="D180" s="106"/>
      <c r="E180" s="106"/>
      <c r="F180" s="98"/>
      <c r="G180" s="177"/>
      <c r="H180" s="177"/>
      <c r="I180" s="110"/>
      <c r="J180" s="110"/>
      <c r="K180" s="110"/>
      <c r="L180" s="99"/>
      <c r="M180" s="100"/>
      <c r="N180" s="95"/>
      <c r="O180" s="95"/>
      <c r="P180" s="95"/>
      <c r="Q180" s="95"/>
      <c r="R180" s="95"/>
      <c r="S180" s="95"/>
      <c r="T180" s="95"/>
    </row>
    <row r="181" spans="1:20" x14ac:dyDescent="0.25">
      <c r="A181" s="256"/>
      <c r="B181" s="257"/>
      <c r="C181" s="257"/>
      <c r="D181" s="106"/>
      <c r="E181" s="106"/>
      <c r="F181" s="98"/>
      <c r="G181" s="177"/>
      <c r="H181" s="177"/>
      <c r="I181" s="110"/>
      <c r="J181" s="110"/>
      <c r="K181" s="110"/>
      <c r="L181" s="100"/>
      <c r="M181" s="100"/>
      <c r="N181" s="95"/>
      <c r="O181" s="95"/>
      <c r="P181" s="95"/>
      <c r="Q181" s="95"/>
      <c r="R181" s="95"/>
      <c r="S181" s="95"/>
      <c r="T181" s="95"/>
    </row>
    <row r="182" spans="1:20" x14ac:dyDescent="0.25">
      <c r="A182" s="256"/>
      <c r="B182" s="101"/>
      <c r="C182" s="102"/>
      <c r="D182" s="102"/>
      <c r="E182" s="102"/>
      <c r="F182" s="103"/>
      <c r="G182" s="103"/>
      <c r="H182" s="103"/>
      <c r="I182" s="104"/>
      <c r="J182" s="104"/>
      <c r="K182" s="104"/>
      <c r="L182" s="104"/>
      <c r="M182" s="105"/>
      <c r="N182" s="95"/>
      <c r="O182" s="95"/>
      <c r="P182" s="95"/>
      <c r="Q182" s="95"/>
      <c r="R182" s="95"/>
      <c r="S182" s="95"/>
      <c r="T182" s="95"/>
    </row>
    <row r="183" spans="1:20" x14ac:dyDescent="0.25">
      <c r="A183" s="256"/>
      <c r="B183" s="257"/>
      <c r="C183" s="257"/>
      <c r="D183" s="106"/>
      <c r="E183" s="106"/>
      <c r="F183" s="98"/>
      <c r="G183" s="177"/>
      <c r="H183" s="177"/>
      <c r="I183" s="51"/>
      <c r="J183" s="51"/>
      <c r="K183" s="51"/>
      <c r="L183" s="99"/>
      <c r="M183" s="100"/>
      <c r="N183" s="95"/>
      <c r="O183" s="95"/>
      <c r="P183" s="95"/>
      <c r="Q183" s="95"/>
      <c r="R183" s="95"/>
      <c r="S183" s="95"/>
      <c r="T183" s="95"/>
    </row>
    <row r="184" spans="1:20" x14ac:dyDescent="0.25">
      <c r="A184" s="256"/>
      <c r="B184" s="257"/>
      <c r="C184" s="257"/>
      <c r="D184" s="106"/>
      <c r="E184" s="106"/>
      <c r="F184" s="98"/>
      <c r="G184" s="177"/>
      <c r="H184" s="177"/>
      <c r="I184" s="51"/>
      <c r="J184" s="51"/>
      <c r="K184" s="51"/>
      <c r="L184" s="99"/>
      <c r="M184" s="100"/>
      <c r="N184" s="95"/>
      <c r="O184" s="95"/>
      <c r="P184" s="95"/>
      <c r="Q184" s="95"/>
      <c r="R184" s="95"/>
      <c r="S184" s="95"/>
      <c r="T184" s="95"/>
    </row>
    <row r="185" spans="1:20" x14ac:dyDescent="0.25">
      <c r="A185" s="256"/>
      <c r="B185" s="257"/>
      <c r="C185" s="257"/>
      <c r="D185" s="106"/>
      <c r="E185" s="106"/>
      <c r="F185" s="98"/>
      <c r="G185" s="177"/>
      <c r="H185" s="177"/>
      <c r="I185" s="110"/>
      <c r="J185" s="110"/>
      <c r="K185" s="110"/>
      <c r="L185" s="99"/>
      <c r="M185" s="100"/>
      <c r="N185" s="95"/>
      <c r="O185" s="95"/>
      <c r="P185" s="95"/>
      <c r="Q185" s="95"/>
      <c r="R185" s="95"/>
      <c r="S185" s="95"/>
      <c r="T185" s="95"/>
    </row>
    <row r="186" spans="1:20" x14ac:dyDescent="0.25">
      <c r="A186" s="256"/>
      <c r="B186" s="257"/>
      <c r="C186" s="257"/>
      <c r="D186" s="106"/>
      <c r="E186" s="106"/>
      <c r="F186" s="98"/>
      <c r="G186" s="177"/>
      <c r="H186" s="177"/>
      <c r="I186" s="110"/>
      <c r="J186" s="110"/>
      <c r="K186" s="110"/>
      <c r="L186" s="99"/>
      <c r="M186" s="100"/>
      <c r="N186" s="95"/>
      <c r="O186" s="95"/>
      <c r="P186" s="95"/>
      <c r="Q186" s="95"/>
      <c r="R186" s="95"/>
      <c r="S186" s="95"/>
      <c r="T186" s="95"/>
    </row>
    <row r="187" spans="1:20" x14ac:dyDescent="0.25">
      <c r="A187" s="256"/>
      <c r="B187" s="101"/>
      <c r="C187" s="102"/>
      <c r="D187" s="102"/>
      <c r="E187" s="102"/>
      <c r="F187" s="103"/>
      <c r="G187" s="103"/>
      <c r="H187" s="103"/>
      <c r="I187" s="104"/>
      <c r="J187" s="104"/>
      <c r="K187" s="104"/>
      <c r="L187" s="99"/>
      <c r="M187" s="105"/>
      <c r="N187" s="95"/>
      <c r="O187" s="95"/>
      <c r="P187" s="95"/>
      <c r="Q187" s="95"/>
      <c r="R187" s="95"/>
      <c r="S187" s="95"/>
      <c r="T187" s="95"/>
    </row>
    <row r="188" spans="1:20" x14ac:dyDescent="0.25">
      <c r="A188" s="256"/>
      <c r="B188" s="257"/>
      <c r="C188" s="257"/>
      <c r="D188" s="106"/>
      <c r="E188" s="106"/>
      <c r="F188" s="98"/>
      <c r="G188" s="177"/>
      <c r="H188" s="177"/>
      <c r="I188" s="51"/>
      <c r="J188" s="51"/>
      <c r="K188" s="51"/>
      <c r="L188" s="99"/>
      <c r="M188" s="100"/>
      <c r="N188" s="95"/>
      <c r="O188" s="95"/>
      <c r="P188" s="95"/>
      <c r="Q188" s="95"/>
      <c r="R188" s="95"/>
      <c r="S188" s="95"/>
      <c r="T188" s="95"/>
    </row>
    <row r="189" spans="1:20" x14ac:dyDescent="0.25">
      <c r="A189" s="256"/>
      <c r="B189" s="257"/>
      <c r="C189" s="257"/>
      <c r="D189" s="106"/>
      <c r="E189" s="106"/>
      <c r="F189" s="98"/>
      <c r="G189" s="177"/>
      <c r="H189" s="177"/>
      <c r="I189" s="51"/>
      <c r="J189" s="51"/>
      <c r="K189" s="51"/>
      <c r="L189" s="99"/>
      <c r="M189" s="100"/>
      <c r="N189" s="95"/>
      <c r="O189" s="95"/>
      <c r="P189" s="95"/>
      <c r="Q189" s="95"/>
      <c r="R189" s="95"/>
      <c r="S189" s="95"/>
      <c r="T189" s="95"/>
    </row>
    <row r="190" spans="1:20" x14ac:dyDescent="0.25">
      <c r="A190" s="256"/>
      <c r="B190" s="257"/>
      <c r="C190" s="257"/>
      <c r="D190" s="106"/>
      <c r="E190" s="106"/>
      <c r="F190" s="98"/>
      <c r="G190" s="177"/>
      <c r="H190" s="177"/>
      <c r="I190" s="51"/>
      <c r="J190" s="51"/>
      <c r="K190" s="51"/>
      <c r="L190" s="99"/>
      <c r="M190" s="100"/>
      <c r="N190" s="95"/>
      <c r="O190" s="95"/>
      <c r="P190" s="95"/>
      <c r="Q190" s="95"/>
      <c r="R190" s="95"/>
      <c r="S190" s="95"/>
      <c r="T190" s="95"/>
    </row>
    <row r="191" spans="1:20" x14ac:dyDescent="0.25">
      <c r="A191" s="256"/>
      <c r="B191" s="257"/>
      <c r="C191" s="257"/>
      <c r="D191" s="106"/>
      <c r="E191" s="106"/>
      <c r="F191" s="98"/>
      <c r="G191" s="177"/>
      <c r="H191" s="177"/>
      <c r="I191" s="51"/>
      <c r="J191" s="51"/>
      <c r="K191" s="51"/>
      <c r="L191" s="99"/>
      <c r="M191" s="100"/>
      <c r="N191" s="95"/>
      <c r="O191" s="95"/>
      <c r="P191" s="95"/>
      <c r="Q191" s="95"/>
      <c r="R191" s="95"/>
      <c r="S191" s="95"/>
      <c r="T191" s="95"/>
    </row>
    <row r="192" spans="1:20" x14ac:dyDescent="0.25">
      <c r="A192" s="256"/>
      <c r="B192" s="101"/>
      <c r="C192" s="102"/>
      <c r="D192" s="102"/>
      <c r="E192" s="102"/>
      <c r="F192" s="103"/>
      <c r="G192" s="103"/>
      <c r="H192" s="103"/>
      <c r="I192" s="104"/>
      <c r="J192" s="104"/>
      <c r="K192" s="104"/>
      <c r="L192" s="99"/>
      <c r="M192" s="105"/>
      <c r="N192" s="95"/>
      <c r="O192" s="95"/>
      <c r="P192" s="95"/>
      <c r="Q192" s="95"/>
      <c r="R192" s="95"/>
      <c r="S192" s="95"/>
      <c r="T192" s="95"/>
    </row>
    <row r="193" spans="1:20" x14ac:dyDescent="0.25">
      <c r="A193" s="256"/>
      <c r="B193" s="257"/>
      <c r="C193" s="257"/>
      <c r="D193" s="106"/>
      <c r="E193" s="106"/>
      <c r="F193" s="98"/>
      <c r="G193" s="177"/>
      <c r="H193" s="177"/>
      <c r="I193" s="51"/>
      <c r="J193" s="51"/>
      <c r="K193" s="51"/>
      <c r="L193" s="99"/>
      <c r="M193" s="100"/>
      <c r="N193" s="95"/>
      <c r="O193" s="95"/>
      <c r="P193" s="95"/>
      <c r="Q193" s="95"/>
      <c r="R193" s="95"/>
      <c r="S193" s="95"/>
      <c r="T193" s="95"/>
    </row>
    <row r="194" spans="1:20" x14ac:dyDescent="0.25">
      <c r="A194" s="256"/>
      <c r="B194" s="257"/>
      <c r="C194" s="257"/>
      <c r="D194" s="106"/>
      <c r="E194" s="106"/>
      <c r="F194" s="98"/>
      <c r="G194" s="177"/>
      <c r="H194" s="177"/>
      <c r="I194" s="51"/>
      <c r="J194" s="51"/>
      <c r="K194" s="51"/>
      <c r="L194" s="99"/>
      <c r="M194" s="100"/>
      <c r="N194" s="95"/>
      <c r="O194" s="95"/>
      <c r="P194" s="95"/>
      <c r="Q194" s="95"/>
      <c r="R194" s="95"/>
      <c r="S194" s="95"/>
      <c r="T194" s="95"/>
    </row>
    <row r="195" spans="1:20" x14ac:dyDescent="0.25">
      <c r="A195" s="256"/>
      <c r="B195" s="257"/>
      <c r="C195" s="257"/>
      <c r="D195" s="106"/>
      <c r="E195" s="106"/>
      <c r="F195" s="98"/>
      <c r="G195" s="177"/>
      <c r="H195" s="177"/>
      <c r="I195" s="110"/>
      <c r="J195" s="110"/>
      <c r="K195" s="110"/>
      <c r="L195" s="99"/>
      <c r="M195" s="100"/>
      <c r="N195" s="95"/>
      <c r="O195" s="95"/>
      <c r="P195" s="95"/>
      <c r="Q195" s="95"/>
      <c r="R195" s="95"/>
      <c r="S195" s="95"/>
      <c r="T195" s="95"/>
    </row>
    <row r="196" spans="1:20" x14ac:dyDescent="0.25">
      <c r="A196" s="256"/>
      <c r="B196" s="257"/>
      <c r="C196" s="257"/>
      <c r="D196" s="106"/>
      <c r="E196" s="106"/>
      <c r="F196" s="98"/>
      <c r="G196" s="177"/>
      <c r="H196" s="177"/>
      <c r="I196" s="110"/>
      <c r="J196" s="110"/>
      <c r="K196" s="110"/>
      <c r="L196" s="99"/>
      <c r="M196" s="100"/>
      <c r="N196" s="95"/>
      <c r="O196" s="95"/>
      <c r="P196" s="95"/>
      <c r="Q196" s="95"/>
      <c r="R196" s="95"/>
      <c r="S196" s="95"/>
      <c r="T196" s="95"/>
    </row>
    <row r="197" spans="1:20" x14ac:dyDescent="0.25">
      <c r="A197" s="256"/>
      <c r="B197" s="101"/>
      <c r="C197" s="102"/>
      <c r="D197" s="102"/>
      <c r="E197" s="102"/>
      <c r="F197" s="103"/>
      <c r="G197" s="103"/>
      <c r="H197" s="103"/>
      <c r="I197" s="104"/>
      <c r="J197" s="104"/>
      <c r="K197" s="104"/>
      <c r="L197" s="99"/>
      <c r="M197" s="105"/>
      <c r="N197" s="95"/>
      <c r="O197" s="95"/>
      <c r="P197" s="95"/>
      <c r="Q197" s="95"/>
      <c r="R197" s="95"/>
      <c r="S197" s="95"/>
      <c r="T197" s="95"/>
    </row>
    <row r="198" spans="1:20" x14ac:dyDescent="0.25">
      <c r="A198" s="256"/>
      <c r="B198" s="257"/>
      <c r="C198" s="257"/>
      <c r="D198" s="106"/>
      <c r="E198" s="106"/>
      <c r="F198" s="98"/>
      <c r="G198" s="177"/>
      <c r="H198" s="177"/>
      <c r="I198" s="51"/>
      <c r="J198" s="51"/>
      <c r="K198" s="51"/>
      <c r="L198" s="100"/>
      <c r="M198" s="100"/>
      <c r="N198" s="95"/>
      <c r="O198" s="95"/>
      <c r="P198" s="95"/>
      <c r="Q198" s="95"/>
      <c r="R198" s="95"/>
      <c r="S198" s="95"/>
      <c r="T198" s="95"/>
    </row>
    <row r="199" spans="1:20" x14ac:dyDescent="0.25">
      <c r="A199" s="256"/>
      <c r="B199" s="257"/>
      <c r="C199" s="257"/>
      <c r="D199" s="106"/>
      <c r="E199" s="106"/>
      <c r="F199" s="98"/>
      <c r="G199" s="177"/>
      <c r="H199" s="177"/>
      <c r="I199" s="51"/>
      <c r="J199" s="51"/>
      <c r="K199" s="51"/>
      <c r="L199" s="99"/>
      <c r="M199" s="100"/>
      <c r="N199" s="95"/>
      <c r="O199" s="95"/>
      <c r="P199" s="95"/>
      <c r="Q199" s="95"/>
      <c r="R199" s="95"/>
      <c r="S199" s="95"/>
      <c r="T199" s="95"/>
    </row>
    <row r="200" spans="1:20" x14ac:dyDescent="0.25">
      <c r="A200" s="256"/>
      <c r="B200" s="257"/>
      <c r="C200" s="257"/>
      <c r="D200" s="106"/>
      <c r="E200" s="106"/>
      <c r="F200" s="98"/>
      <c r="G200" s="177"/>
      <c r="H200" s="177"/>
      <c r="I200" s="51"/>
      <c r="J200" s="51"/>
      <c r="K200" s="51"/>
      <c r="L200" s="99"/>
      <c r="M200" s="100"/>
      <c r="N200" s="95"/>
      <c r="O200" s="95"/>
      <c r="P200" s="95"/>
      <c r="Q200" s="95"/>
      <c r="R200" s="95"/>
      <c r="S200" s="95"/>
      <c r="T200" s="95"/>
    </row>
    <row r="201" spans="1:20" x14ac:dyDescent="0.25">
      <c r="A201" s="256"/>
      <c r="B201" s="101"/>
      <c r="C201" s="102"/>
      <c r="D201" s="102"/>
      <c r="E201" s="102"/>
      <c r="F201" s="103"/>
      <c r="G201" s="103"/>
      <c r="H201" s="103"/>
      <c r="I201" s="104"/>
      <c r="J201" s="104"/>
      <c r="K201" s="104"/>
      <c r="L201" s="104"/>
      <c r="M201" s="105"/>
      <c r="N201" s="95"/>
      <c r="O201" s="95"/>
      <c r="P201" s="95"/>
      <c r="Q201" s="95"/>
      <c r="R201" s="95"/>
      <c r="S201" s="95"/>
      <c r="T201" s="95"/>
    </row>
    <row r="202" spans="1:20" x14ac:dyDescent="0.25">
      <c r="A202" s="256"/>
      <c r="B202" s="257"/>
      <c r="C202" s="257"/>
      <c r="D202" s="106"/>
      <c r="E202" s="106"/>
      <c r="F202" s="98"/>
      <c r="G202" s="177"/>
      <c r="H202" s="177"/>
      <c r="I202" s="51"/>
      <c r="J202" s="51"/>
      <c r="K202" s="51"/>
      <c r="L202" s="99"/>
      <c r="M202" s="100"/>
      <c r="N202" s="95"/>
      <c r="O202" s="95"/>
      <c r="P202" s="95"/>
      <c r="Q202" s="95"/>
      <c r="R202" s="95"/>
      <c r="S202" s="95"/>
      <c r="T202" s="95"/>
    </row>
    <row r="203" spans="1:20" x14ac:dyDescent="0.25">
      <c r="A203" s="256"/>
      <c r="B203" s="257"/>
      <c r="C203" s="257"/>
      <c r="D203" s="106"/>
      <c r="E203" s="106"/>
      <c r="F203" s="98"/>
      <c r="G203" s="177"/>
      <c r="H203" s="177"/>
      <c r="I203" s="51"/>
      <c r="J203" s="51"/>
      <c r="K203" s="51"/>
      <c r="L203" s="99"/>
      <c r="M203" s="100"/>
      <c r="N203" s="95"/>
      <c r="O203" s="95"/>
      <c r="P203" s="95"/>
      <c r="Q203" s="95"/>
      <c r="R203" s="95"/>
      <c r="S203" s="95"/>
      <c r="T203" s="95"/>
    </row>
    <row r="204" spans="1:20" x14ac:dyDescent="0.25">
      <c r="A204" s="256"/>
      <c r="B204" s="257"/>
      <c r="C204" s="257"/>
      <c r="D204" s="106"/>
      <c r="E204" s="106"/>
      <c r="F204" s="98"/>
      <c r="G204" s="177"/>
      <c r="H204" s="177"/>
      <c r="I204" s="51"/>
      <c r="J204" s="51"/>
      <c r="K204" s="51"/>
      <c r="L204" s="99"/>
      <c r="M204" s="100"/>
      <c r="N204" s="95"/>
      <c r="O204" s="95"/>
      <c r="P204" s="95"/>
      <c r="Q204" s="95"/>
      <c r="R204" s="95"/>
      <c r="S204" s="95"/>
      <c r="T204" s="95"/>
    </row>
    <row r="205" spans="1:20" x14ac:dyDescent="0.25">
      <c r="A205" s="256"/>
      <c r="B205" s="257"/>
      <c r="C205" s="257"/>
      <c r="D205" s="106"/>
      <c r="E205" s="106"/>
      <c r="F205" s="98"/>
      <c r="G205" s="177"/>
      <c r="H205" s="177"/>
      <c r="I205" s="51"/>
      <c r="J205" s="51"/>
      <c r="K205" s="51"/>
      <c r="L205" s="99"/>
      <c r="M205" s="100"/>
      <c r="N205" s="95"/>
      <c r="O205" s="95"/>
      <c r="P205" s="95"/>
      <c r="Q205" s="95"/>
      <c r="R205" s="95"/>
      <c r="S205" s="95"/>
      <c r="T205" s="95"/>
    </row>
    <row r="206" spans="1:20" x14ac:dyDescent="0.25">
      <c r="A206" s="256"/>
      <c r="B206" s="101"/>
      <c r="C206" s="102"/>
      <c r="D206" s="102"/>
      <c r="E206" s="102"/>
      <c r="F206" s="103"/>
      <c r="G206" s="103"/>
      <c r="H206" s="103"/>
      <c r="I206" s="104"/>
      <c r="J206" s="104"/>
      <c r="K206" s="104"/>
      <c r="L206" s="99"/>
      <c r="M206" s="105"/>
      <c r="N206" s="95"/>
      <c r="O206" s="95"/>
      <c r="P206" s="95"/>
      <c r="Q206" s="95"/>
      <c r="R206" s="95"/>
      <c r="S206" s="95"/>
      <c r="T206" s="95"/>
    </row>
    <row r="207" spans="1:20" x14ac:dyDescent="0.25">
      <c r="A207" s="255"/>
      <c r="B207" s="255"/>
      <c r="C207" s="255"/>
      <c r="D207" s="112"/>
      <c r="E207" s="112"/>
      <c r="F207" s="113"/>
      <c r="G207" s="113"/>
      <c r="H207" s="113"/>
      <c r="I207" s="104"/>
      <c r="J207" s="104"/>
      <c r="K207" s="104"/>
      <c r="L207" s="104"/>
      <c r="M207" s="105"/>
      <c r="N207" s="95"/>
      <c r="O207" s="95"/>
      <c r="P207" s="95"/>
      <c r="Q207" s="95"/>
      <c r="R207" s="95"/>
      <c r="S207" s="95"/>
      <c r="T207" s="95"/>
    </row>
    <row r="208" spans="1:20" x14ac:dyDescent="0.25">
      <c r="A208" s="114"/>
      <c r="B208" s="114"/>
      <c r="C208" s="114"/>
      <c r="D208" s="114"/>
      <c r="E208" s="114"/>
      <c r="F208" s="115"/>
      <c r="G208" s="115"/>
      <c r="H208" s="115"/>
      <c r="I208" s="114"/>
      <c r="J208" s="114"/>
      <c r="K208" s="114"/>
      <c r="L208" s="99"/>
      <c r="M208" s="99"/>
      <c r="N208" s="95"/>
      <c r="O208" s="95"/>
      <c r="P208" s="95"/>
      <c r="Q208" s="95"/>
      <c r="R208" s="95"/>
      <c r="S208" s="95"/>
      <c r="T208" s="95"/>
    </row>
    <row r="209" spans="1:20" x14ac:dyDescent="0.25">
      <c r="A209" s="114"/>
      <c r="B209" s="93"/>
      <c r="C209" s="247"/>
      <c r="D209" s="247"/>
      <c r="E209" s="247"/>
      <c r="F209" s="247"/>
      <c r="G209" s="176"/>
      <c r="H209" s="176"/>
      <c r="I209" s="93"/>
      <c r="J209" s="184"/>
      <c r="K209" s="184"/>
      <c r="L209" s="94"/>
      <c r="M209" s="94"/>
      <c r="N209" s="95"/>
      <c r="O209" s="95"/>
      <c r="P209" s="95"/>
      <c r="Q209" s="95"/>
      <c r="R209" s="95"/>
      <c r="S209" s="95"/>
      <c r="T209" s="95"/>
    </row>
    <row r="210" spans="1:20" x14ac:dyDescent="0.25">
      <c r="A210" s="114"/>
      <c r="B210" s="116"/>
      <c r="C210" s="254"/>
      <c r="D210" s="254"/>
      <c r="E210" s="254"/>
      <c r="F210" s="254"/>
      <c r="G210" s="174"/>
      <c r="H210" s="174"/>
      <c r="I210" s="110"/>
      <c r="J210" s="110"/>
      <c r="K210" s="110"/>
      <c r="L210" s="99"/>
      <c r="M210" s="100"/>
      <c r="N210" s="95"/>
      <c r="O210" s="95"/>
      <c r="P210" s="95"/>
      <c r="Q210" s="95"/>
      <c r="R210" s="95"/>
      <c r="S210" s="95"/>
      <c r="T210" s="95"/>
    </row>
    <row r="211" spans="1:20" x14ac:dyDescent="0.25">
      <c r="A211" s="114"/>
      <c r="B211" s="116"/>
      <c r="C211" s="254"/>
      <c r="D211" s="254"/>
      <c r="E211" s="254"/>
      <c r="F211" s="254"/>
      <c r="G211" s="174"/>
      <c r="H211" s="174"/>
      <c r="I211" s="110"/>
      <c r="J211" s="110"/>
      <c r="K211" s="110"/>
      <c r="L211" s="110"/>
      <c r="M211" s="100"/>
      <c r="N211" s="95"/>
      <c r="O211" s="95"/>
      <c r="P211" s="95"/>
      <c r="Q211" s="95"/>
      <c r="R211" s="95"/>
      <c r="S211" s="95"/>
      <c r="T211" s="95"/>
    </row>
    <row r="212" spans="1:20" x14ac:dyDescent="0.25">
      <c r="A212" s="114"/>
      <c r="B212" s="116"/>
      <c r="C212" s="254"/>
      <c r="D212" s="254"/>
      <c r="E212" s="254"/>
      <c r="F212" s="254"/>
      <c r="G212" s="174"/>
      <c r="H212" s="174"/>
      <c r="I212" s="110"/>
      <c r="J212" s="110"/>
      <c r="K212" s="110"/>
      <c r="L212" s="110"/>
      <c r="M212" s="100"/>
      <c r="N212" s="95"/>
      <c r="O212" s="95"/>
      <c r="P212" s="95"/>
      <c r="Q212" s="95"/>
      <c r="R212" s="95"/>
      <c r="S212" s="95"/>
      <c r="T212" s="95"/>
    </row>
    <row r="213" spans="1:20" ht="29.25" customHeight="1" x14ac:dyDescent="0.25">
      <c r="A213" s="114"/>
      <c r="B213" s="116"/>
      <c r="C213" s="254"/>
      <c r="D213" s="254"/>
      <c r="E213" s="254"/>
      <c r="F213" s="254"/>
      <c r="G213" s="174"/>
      <c r="H213" s="174"/>
      <c r="I213" s="110"/>
      <c r="J213" s="110"/>
      <c r="K213" s="110"/>
      <c r="L213" s="110"/>
      <c r="M213" s="100"/>
      <c r="N213" s="95"/>
      <c r="O213" s="95"/>
      <c r="P213" s="95"/>
      <c r="Q213" s="95"/>
      <c r="R213" s="95"/>
      <c r="S213" s="95"/>
      <c r="T213" s="95"/>
    </row>
    <row r="214" spans="1:20" x14ac:dyDescent="0.25">
      <c r="A214" s="114"/>
      <c r="B214" s="116"/>
      <c r="C214" s="254"/>
      <c r="D214" s="254"/>
      <c r="E214" s="254"/>
      <c r="F214" s="254"/>
      <c r="G214" s="174"/>
      <c r="H214" s="174"/>
      <c r="I214" s="110"/>
      <c r="J214" s="110"/>
      <c r="K214" s="110"/>
      <c r="L214" s="110"/>
      <c r="M214" s="100"/>
      <c r="N214" s="95"/>
      <c r="O214" s="95"/>
      <c r="P214" s="95"/>
      <c r="Q214" s="95"/>
      <c r="R214" s="95"/>
      <c r="S214" s="95"/>
      <c r="T214" s="95"/>
    </row>
    <row r="215" spans="1:20" x14ac:dyDescent="0.25">
      <c r="A215" s="114"/>
      <c r="B215" s="116"/>
      <c r="C215" s="254"/>
      <c r="D215" s="254"/>
      <c r="E215" s="254"/>
      <c r="F215" s="254"/>
      <c r="G215" s="174"/>
      <c r="H215" s="174"/>
      <c r="I215" s="110"/>
      <c r="J215" s="110"/>
      <c r="K215" s="110"/>
      <c r="L215" s="110"/>
      <c r="M215" s="100"/>
      <c r="N215" s="95"/>
      <c r="O215" s="95"/>
      <c r="P215" s="95"/>
      <c r="Q215" s="95"/>
      <c r="R215" s="95"/>
      <c r="S215" s="95"/>
      <c r="T215" s="95"/>
    </row>
    <row r="216" spans="1:20" x14ac:dyDescent="0.25">
      <c r="A216" s="114"/>
      <c r="B216" s="116"/>
      <c r="C216" s="254"/>
      <c r="D216" s="254"/>
      <c r="E216" s="254"/>
      <c r="F216" s="254"/>
      <c r="G216" s="174"/>
      <c r="H216" s="174"/>
      <c r="I216" s="110"/>
      <c r="J216" s="110"/>
      <c r="K216" s="110"/>
      <c r="L216" s="110"/>
      <c r="M216" s="100"/>
      <c r="N216" s="95"/>
      <c r="O216" s="95"/>
      <c r="P216" s="95"/>
      <c r="Q216" s="95"/>
      <c r="R216" s="95"/>
      <c r="S216" s="95"/>
      <c r="T216" s="95"/>
    </row>
    <row r="217" spans="1:20" x14ac:dyDescent="0.25">
      <c r="A217" s="114"/>
      <c r="B217" s="116"/>
      <c r="C217" s="254"/>
      <c r="D217" s="254"/>
      <c r="E217" s="254"/>
      <c r="F217" s="254"/>
      <c r="G217" s="174"/>
      <c r="H217" s="174"/>
      <c r="I217" s="110"/>
      <c r="J217" s="110"/>
      <c r="K217" s="110"/>
      <c r="L217" s="110"/>
      <c r="M217" s="100"/>
      <c r="N217" s="95"/>
      <c r="O217" s="95"/>
      <c r="P217" s="95"/>
      <c r="Q217" s="95"/>
      <c r="R217" s="95"/>
      <c r="S217" s="95"/>
      <c r="T217" s="95"/>
    </row>
    <row r="218" spans="1:20" x14ac:dyDescent="0.25">
      <c r="A218" s="114"/>
      <c r="B218" s="116"/>
      <c r="C218" s="254"/>
      <c r="D218" s="254"/>
      <c r="E218" s="254"/>
      <c r="F218" s="254"/>
      <c r="G218" s="174"/>
      <c r="H218" s="174"/>
      <c r="I218" s="110"/>
      <c r="J218" s="110"/>
      <c r="K218" s="110"/>
      <c r="L218" s="110"/>
      <c r="M218" s="100"/>
      <c r="N218" s="95"/>
      <c r="O218" s="95"/>
      <c r="P218" s="95"/>
      <c r="Q218" s="95"/>
      <c r="R218" s="95"/>
      <c r="S218" s="95"/>
      <c r="T218" s="95"/>
    </row>
    <row r="219" spans="1:20" x14ac:dyDescent="0.25">
      <c r="A219" s="114"/>
      <c r="B219" s="116"/>
      <c r="C219" s="258"/>
      <c r="D219" s="258"/>
      <c r="E219" s="258"/>
      <c r="F219" s="258"/>
      <c r="G219" s="178"/>
      <c r="H219" s="178"/>
      <c r="I219" s="110"/>
      <c r="J219" s="110"/>
      <c r="K219" s="110"/>
      <c r="L219" s="99"/>
      <c r="M219" s="100"/>
      <c r="N219" s="95"/>
      <c r="O219" s="95"/>
      <c r="P219" s="95"/>
      <c r="Q219" s="95"/>
      <c r="R219" s="95"/>
      <c r="S219" s="95"/>
      <c r="T219" s="95"/>
    </row>
    <row r="220" spans="1:20" ht="26.25" customHeight="1" x14ac:dyDescent="0.25">
      <c r="A220" s="114"/>
      <c r="B220" s="116"/>
      <c r="C220" s="254"/>
      <c r="D220" s="254"/>
      <c r="E220" s="254"/>
      <c r="F220" s="254"/>
      <c r="G220" s="174"/>
      <c r="H220" s="174"/>
      <c r="I220" s="110"/>
      <c r="J220" s="110"/>
      <c r="K220" s="110"/>
      <c r="L220" s="99"/>
      <c r="M220" s="100"/>
      <c r="N220" s="95"/>
      <c r="O220" s="95"/>
      <c r="P220" s="95"/>
      <c r="Q220" s="95"/>
      <c r="R220" s="95"/>
      <c r="S220" s="95"/>
      <c r="T220" s="95"/>
    </row>
    <row r="221" spans="1:20" x14ac:dyDescent="0.25">
      <c r="A221" s="114"/>
      <c r="B221" s="255"/>
      <c r="C221" s="255"/>
      <c r="D221" s="255"/>
      <c r="E221" s="255"/>
      <c r="F221" s="255"/>
      <c r="G221" s="175"/>
      <c r="H221" s="175"/>
      <c r="I221" s="104"/>
      <c r="J221" s="104"/>
      <c r="K221" s="104"/>
      <c r="L221" s="104"/>
      <c r="M221" s="105"/>
      <c r="N221" s="95"/>
      <c r="O221" s="95"/>
      <c r="P221" s="95"/>
      <c r="Q221" s="95"/>
      <c r="R221" s="95"/>
      <c r="S221" s="95"/>
      <c r="T221" s="95"/>
    </row>
    <row r="222" spans="1:20" x14ac:dyDescent="0.25">
      <c r="A222" s="114"/>
      <c r="B222" s="114"/>
      <c r="C222" s="114"/>
      <c r="D222" s="114"/>
      <c r="E222" s="114"/>
      <c r="F222" s="115"/>
      <c r="G222" s="115"/>
      <c r="H222" s="115"/>
      <c r="I222" s="114"/>
      <c r="J222" s="114"/>
      <c r="K222" s="114"/>
      <c r="L222" s="99"/>
      <c r="M222" s="99"/>
      <c r="N222" s="95"/>
      <c r="O222" s="95"/>
      <c r="P222" s="95"/>
      <c r="Q222" s="95"/>
      <c r="R222" s="95"/>
      <c r="S222" s="95"/>
      <c r="T222" s="95"/>
    </row>
    <row r="223" spans="1:20" x14ac:dyDescent="0.25">
      <c r="A223" s="114"/>
      <c r="B223" s="93"/>
      <c r="C223" s="247"/>
      <c r="D223" s="247"/>
      <c r="E223" s="247"/>
      <c r="F223" s="247"/>
      <c r="G223" s="176"/>
      <c r="H223" s="176"/>
      <c r="I223" s="117"/>
      <c r="J223" s="117"/>
      <c r="K223" s="117"/>
      <c r="L223" s="94"/>
      <c r="M223" s="94"/>
      <c r="N223" s="95"/>
      <c r="O223" s="95"/>
      <c r="P223" s="95"/>
      <c r="Q223" s="95"/>
      <c r="R223" s="95"/>
      <c r="S223" s="95"/>
      <c r="T223" s="95"/>
    </row>
    <row r="224" spans="1:20" ht="24.75" customHeight="1" x14ac:dyDescent="0.25">
      <c r="A224" s="114"/>
      <c r="B224" s="116"/>
      <c r="C224" s="251"/>
      <c r="D224" s="251"/>
      <c r="E224" s="251"/>
      <c r="F224" s="251"/>
      <c r="G224" s="171"/>
      <c r="H224" s="171"/>
      <c r="I224" s="51"/>
      <c r="J224" s="51"/>
      <c r="K224" s="51"/>
      <c r="L224" s="51"/>
      <c r="M224" s="100"/>
      <c r="N224" s="95"/>
      <c r="O224" s="95"/>
      <c r="P224" s="95"/>
      <c r="Q224" s="95"/>
      <c r="R224" s="95"/>
      <c r="S224" s="95"/>
      <c r="T224" s="95"/>
    </row>
    <row r="225" spans="1:20" ht="21" customHeight="1" x14ac:dyDescent="0.25">
      <c r="A225" s="114"/>
      <c r="B225" s="116"/>
      <c r="C225" s="251"/>
      <c r="D225" s="251"/>
      <c r="E225" s="251"/>
      <c r="F225" s="251"/>
      <c r="G225" s="171"/>
      <c r="H225" s="171"/>
      <c r="I225" s="51"/>
      <c r="J225" s="51"/>
      <c r="K225" s="51"/>
      <c r="L225" s="51"/>
      <c r="M225" s="100"/>
      <c r="N225" s="95"/>
      <c r="O225" s="95"/>
      <c r="P225" s="95"/>
      <c r="Q225" s="95"/>
      <c r="R225" s="95"/>
      <c r="S225" s="95"/>
      <c r="T225" s="95"/>
    </row>
    <row r="226" spans="1:20" ht="22.5" customHeight="1" x14ac:dyDescent="0.25">
      <c r="A226" s="114"/>
      <c r="B226" s="116"/>
      <c r="C226" s="251"/>
      <c r="D226" s="251"/>
      <c r="E226" s="251"/>
      <c r="F226" s="251"/>
      <c r="G226" s="171"/>
      <c r="H226" s="171"/>
      <c r="I226" s="51"/>
      <c r="J226" s="51"/>
      <c r="K226" s="51"/>
      <c r="L226" s="51"/>
      <c r="M226" s="100"/>
      <c r="N226" s="95"/>
      <c r="O226" s="95"/>
      <c r="P226" s="95"/>
      <c r="Q226" s="95"/>
      <c r="R226" s="95"/>
      <c r="S226" s="95"/>
      <c r="T226" s="95"/>
    </row>
    <row r="227" spans="1:20" ht="24.75" customHeight="1" x14ac:dyDescent="0.25">
      <c r="A227" s="114"/>
      <c r="B227" s="116"/>
      <c r="C227" s="251"/>
      <c r="D227" s="251"/>
      <c r="E227" s="251"/>
      <c r="F227" s="251"/>
      <c r="G227" s="171"/>
      <c r="H227" s="171"/>
      <c r="I227" s="51"/>
      <c r="J227" s="51"/>
      <c r="K227" s="51"/>
      <c r="L227" s="51"/>
      <c r="M227" s="100"/>
      <c r="N227" s="95"/>
      <c r="O227" s="95"/>
      <c r="P227" s="95"/>
      <c r="Q227" s="95"/>
      <c r="R227" s="95"/>
      <c r="S227" s="95"/>
      <c r="T227" s="95"/>
    </row>
    <row r="228" spans="1:20" ht="27" customHeight="1" x14ac:dyDescent="0.25">
      <c r="A228" s="114"/>
      <c r="B228" s="116"/>
      <c r="C228" s="251"/>
      <c r="D228" s="251"/>
      <c r="E228" s="251"/>
      <c r="F228" s="251"/>
      <c r="G228" s="171"/>
      <c r="H228" s="171"/>
      <c r="I228" s="51"/>
      <c r="J228" s="51"/>
      <c r="K228" s="51"/>
      <c r="L228" s="99"/>
      <c r="M228" s="100"/>
      <c r="N228" s="95"/>
      <c r="O228" s="95"/>
      <c r="P228" s="95"/>
      <c r="Q228" s="95"/>
      <c r="R228" s="95"/>
      <c r="S228" s="95"/>
      <c r="T228" s="95"/>
    </row>
    <row r="229" spans="1:20" ht="25.5" customHeight="1" x14ac:dyDescent="0.25">
      <c r="A229" s="114"/>
      <c r="B229" s="116"/>
      <c r="C229" s="251"/>
      <c r="D229" s="251"/>
      <c r="E229" s="251"/>
      <c r="F229" s="251"/>
      <c r="G229" s="171"/>
      <c r="H229" s="171"/>
      <c r="I229" s="51"/>
      <c r="J229" s="51"/>
      <c r="K229" s="51"/>
      <c r="L229" s="51"/>
      <c r="M229" s="100"/>
      <c r="N229" s="95"/>
      <c r="O229" s="95"/>
      <c r="P229" s="95"/>
      <c r="Q229" s="95"/>
      <c r="R229" s="95"/>
      <c r="S229" s="95"/>
      <c r="T229" s="95"/>
    </row>
    <row r="230" spans="1:20" x14ac:dyDescent="0.25">
      <c r="A230" s="114"/>
      <c r="B230" s="116"/>
      <c r="C230" s="251"/>
      <c r="D230" s="251"/>
      <c r="E230" s="251"/>
      <c r="F230" s="251"/>
      <c r="G230" s="171"/>
      <c r="H230" s="171"/>
      <c r="I230" s="51"/>
      <c r="J230" s="51"/>
      <c r="K230" s="51"/>
      <c r="L230" s="51"/>
      <c r="M230" s="100"/>
      <c r="N230" s="95"/>
      <c r="O230" s="95"/>
      <c r="P230" s="95"/>
      <c r="Q230" s="95"/>
      <c r="R230" s="95"/>
      <c r="S230" s="95"/>
      <c r="T230" s="95"/>
    </row>
    <row r="231" spans="1:20" x14ac:dyDescent="0.25">
      <c r="A231" s="114"/>
      <c r="B231" s="116"/>
      <c r="C231" s="251"/>
      <c r="D231" s="251"/>
      <c r="E231" s="251"/>
      <c r="F231" s="251"/>
      <c r="G231" s="171"/>
      <c r="H231" s="171"/>
      <c r="I231" s="51"/>
      <c r="J231" s="51"/>
      <c r="K231" s="51"/>
      <c r="L231" s="99"/>
      <c r="M231" s="100"/>
      <c r="N231" s="95"/>
      <c r="O231" s="95"/>
      <c r="P231" s="95"/>
      <c r="Q231" s="95"/>
      <c r="R231" s="95"/>
      <c r="S231" s="95"/>
      <c r="T231" s="95"/>
    </row>
    <row r="232" spans="1:20" ht="38.25" customHeight="1" x14ac:dyDescent="0.25">
      <c r="A232" s="114"/>
      <c r="B232" s="116"/>
      <c r="C232" s="251"/>
      <c r="D232" s="251"/>
      <c r="E232" s="251"/>
      <c r="F232" s="251"/>
      <c r="G232" s="171"/>
      <c r="H232" s="171"/>
      <c r="I232" s="51"/>
      <c r="J232" s="51"/>
      <c r="K232" s="51"/>
      <c r="L232" s="51"/>
      <c r="M232" s="100"/>
      <c r="N232" s="95"/>
      <c r="O232" s="95"/>
      <c r="P232" s="95"/>
      <c r="Q232" s="95"/>
      <c r="R232" s="95"/>
      <c r="S232" s="95"/>
      <c r="T232" s="95"/>
    </row>
    <row r="233" spans="1:20" ht="28.5" customHeight="1" x14ac:dyDescent="0.25">
      <c r="A233" s="114"/>
      <c r="B233" s="116"/>
      <c r="C233" s="251"/>
      <c r="D233" s="251"/>
      <c r="E233" s="251"/>
      <c r="F233" s="251"/>
      <c r="G233" s="171"/>
      <c r="H233" s="171"/>
      <c r="I233" s="51"/>
      <c r="J233" s="51"/>
      <c r="K233" s="51"/>
      <c r="L233" s="99"/>
      <c r="M233" s="100"/>
      <c r="N233" s="95"/>
      <c r="O233" s="95"/>
      <c r="P233" s="95"/>
      <c r="Q233" s="95"/>
      <c r="R233" s="95"/>
      <c r="S233" s="95"/>
      <c r="T233" s="95"/>
    </row>
    <row r="234" spans="1:20" ht="25.5" customHeight="1" x14ac:dyDescent="0.25">
      <c r="A234" s="114"/>
      <c r="B234" s="116"/>
      <c r="C234" s="251"/>
      <c r="D234" s="251"/>
      <c r="E234" s="251"/>
      <c r="F234" s="251"/>
      <c r="G234" s="171"/>
      <c r="H234" s="171"/>
      <c r="I234" s="51"/>
      <c r="J234" s="51"/>
      <c r="K234" s="51"/>
      <c r="L234" s="99"/>
      <c r="M234" s="100"/>
      <c r="N234" s="95"/>
      <c r="O234" s="95"/>
      <c r="P234" s="95"/>
      <c r="Q234" s="95"/>
      <c r="R234" s="95"/>
      <c r="S234" s="95"/>
      <c r="T234" s="95"/>
    </row>
    <row r="235" spans="1:20" ht="25.5" customHeight="1" x14ac:dyDescent="0.25">
      <c r="A235" s="114"/>
      <c r="B235" s="116"/>
      <c r="C235" s="251"/>
      <c r="D235" s="251"/>
      <c r="E235" s="251"/>
      <c r="F235" s="251"/>
      <c r="G235" s="171"/>
      <c r="H235" s="171"/>
      <c r="I235" s="51"/>
      <c r="J235" s="51"/>
      <c r="K235" s="51"/>
      <c r="L235" s="51"/>
      <c r="M235" s="100"/>
      <c r="N235" s="95"/>
      <c r="O235" s="95"/>
      <c r="P235" s="95"/>
      <c r="Q235" s="95"/>
      <c r="R235" s="95"/>
      <c r="S235" s="95"/>
      <c r="T235" s="95"/>
    </row>
    <row r="236" spans="1:20" ht="39" customHeight="1" x14ac:dyDescent="0.25">
      <c r="A236" s="114"/>
      <c r="B236" s="116"/>
      <c r="C236" s="252"/>
      <c r="D236" s="252"/>
      <c r="E236" s="252"/>
      <c r="F236" s="252"/>
      <c r="G236" s="172"/>
      <c r="H236" s="172"/>
      <c r="I236" s="51"/>
      <c r="J236" s="51"/>
      <c r="K236" s="51"/>
      <c r="L236" s="99"/>
      <c r="M236" s="100"/>
      <c r="N236" s="95"/>
      <c r="O236" s="95"/>
      <c r="P236" s="95"/>
      <c r="Q236" s="95"/>
      <c r="R236" s="95"/>
      <c r="S236" s="95"/>
      <c r="T236" s="95"/>
    </row>
    <row r="237" spans="1:20" x14ac:dyDescent="0.25">
      <c r="A237" s="114"/>
      <c r="B237" s="253"/>
      <c r="C237" s="253"/>
      <c r="D237" s="253"/>
      <c r="E237" s="253"/>
      <c r="F237" s="253"/>
      <c r="G237" s="173"/>
      <c r="H237" s="173"/>
      <c r="I237" s="118"/>
      <c r="J237" s="118"/>
      <c r="K237" s="118"/>
      <c r="L237" s="118"/>
      <c r="M237" s="105"/>
      <c r="N237" s="95"/>
      <c r="O237" s="95"/>
      <c r="P237" s="95"/>
      <c r="Q237" s="95"/>
      <c r="R237" s="95"/>
      <c r="S237" s="95"/>
      <c r="T237" s="95"/>
    </row>
  </sheetData>
  <mergeCells count="109">
    <mergeCell ref="D10:D12"/>
    <mergeCell ref="E10:E12"/>
    <mergeCell ref="A101:A103"/>
    <mergeCell ref="B101:B102"/>
    <mergeCell ref="C101:C102"/>
    <mergeCell ref="A104:A108"/>
    <mergeCell ref="B104:B107"/>
    <mergeCell ref="C104:C107"/>
    <mergeCell ref="F10:N10"/>
    <mergeCell ref="L11:N11"/>
    <mergeCell ref="A98:A100"/>
    <mergeCell ref="B98:B99"/>
    <mergeCell ref="C98:C99"/>
    <mergeCell ref="A10:A12"/>
    <mergeCell ref="B10:B12"/>
    <mergeCell ref="C10:C12"/>
    <mergeCell ref="I11:K11"/>
    <mergeCell ref="A109:A112"/>
    <mergeCell ref="B109:B111"/>
    <mergeCell ref="C109:C111"/>
    <mergeCell ref="A113:A117"/>
    <mergeCell ref="B113:B116"/>
    <mergeCell ref="C113:C116"/>
    <mergeCell ref="A118:A122"/>
    <mergeCell ref="B118:B121"/>
    <mergeCell ref="C118:C121"/>
    <mergeCell ref="A123:A127"/>
    <mergeCell ref="B123:B126"/>
    <mergeCell ref="C123:C126"/>
    <mergeCell ref="A128:A132"/>
    <mergeCell ref="B128:B131"/>
    <mergeCell ref="C128:C131"/>
    <mergeCell ref="A133:A137"/>
    <mergeCell ref="B133:B136"/>
    <mergeCell ref="C133:C136"/>
    <mergeCell ref="A138:A142"/>
    <mergeCell ref="B138:B141"/>
    <mergeCell ref="C138:C141"/>
    <mergeCell ref="A143:A147"/>
    <mergeCell ref="B143:B146"/>
    <mergeCell ref="C143:C146"/>
    <mergeCell ref="A148:A152"/>
    <mergeCell ref="B148:B151"/>
    <mergeCell ref="C148:C151"/>
    <mergeCell ref="A153:A157"/>
    <mergeCell ref="B153:B156"/>
    <mergeCell ref="C153:C156"/>
    <mergeCell ref="A158:A162"/>
    <mergeCell ref="B158:B161"/>
    <mergeCell ref="C158:C161"/>
    <mergeCell ref="A163:A167"/>
    <mergeCell ref="B163:B166"/>
    <mergeCell ref="C163:C166"/>
    <mergeCell ref="A168:A172"/>
    <mergeCell ref="B168:B171"/>
    <mergeCell ref="C168:C171"/>
    <mergeCell ref="A173:A177"/>
    <mergeCell ref="B173:B176"/>
    <mergeCell ref="C173:C176"/>
    <mergeCell ref="A178:A182"/>
    <mergeCell ref="B178:B181"/>
    <mergeCell ref="C178:C181"/>
    <mergeCell ref="A183:A187"/>
    <mergeCell ref="B183:B186"/>
    <mergeCell ref="C183:C186"/>
    <mergeCell ref="A188:A192"/>
    <mergeCell ref="B188:B191"/>
    <mergeCell ref="C188:C191"/>
    <mergeCell ref="A193:A197"/>
    <mergeCell ref="B193:B196"/>
    <mergeCell ref="C193:C196"/>
    <mergeCell ref="B202:B205"/>
    <mergeCell ref="C202:C205"/>
    <mergeCell ref="C219:F219"/>
    <mergeCell ref="A207:C207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S12:S13"/>
    <mergeCell ref="F11:H11"/>
    <mergeCell ref="C233:F233"/>
    <mergeCell ref="C234:F234"/>
    <mergeCell ref="C235:F235"/>
    <mergeCell ref="C236:F236"/>
    <mergeCell ref="B237:F237"/>
    <mergeCell ref="A8:M8"/>
    <mergeCell ref="C232:F232"/>
    <mergeCell ref="C220:F220"/>
    <mergeCell ref="B221:F221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A198:A201"/>
    <mergeCell ref="B198:B200"/>
    <mergeCell ref="C198:C200"/>
    <mergeCell ref="A202:A206"/>
  </mergeCells>
  <conditionalFormatting sqref="L50 L26 L63 L41 L33 L38 L103 L56 L93 L21 I11 I13:K182">
    <cfRule type="cellIs" dxfId="26" priority="1" stopIfTrue="1" operator="equal">
      <formula>0</formula>
    </cfRule>
  </conditionalFormatting>
  <conditionalFormatting sqref="I39:K39 I106:K107 I115:K116 I155:K156">
    <cfRule type="cellIs" dxfId="25" priority="11" stopIfTrue="1" operator="equal">
      <formula>0</formula>
    </cfRule>
  </conditionalFormatting>
  <conditionalFormatting sqref="I55:K55">
    <cfRule type="cellIs" dxfId="24" priority="10" stopIfTrue="1" operator="equal">
      <formula>0</formula>
    </cfRule>
  </conditionalFormatting>
  <conditionalFormatting sqref="I64:K65">
    <cfRule type="cellIs" dxfId="23" priority="2" stopIfTrue="1" operator="equal">
      <formula>0</formula>
    </cfRule>
  </conditionalFormatting>
  <conditionalFormatting sqref="I67:K67 I69:K69 I71:K71 I73:K73 I75:K75 I77:K77 I79:K79 I81:K81 I83:K83 I85:K86 I88:K88 I91:K91 I94:K94 I96:K96 I98:K99 I101:K102 I104:K104 I123:K123 I125:K126 I128:K129 I133:K133 I135:K136 I138:K138 I140:K141 I143:K143 I145:K146 I148:K148 I150:K151 I153:K153 I158:K159 I163:K166 I168:K168 I170:K171 I173:K173 I175:K176 I178:K179 I188:K191 I193:K194 I198:K200 I202:K205 I11 I13:K16 I224:K236 L229:L230 L235 L232 L224:L227">
    <cfRule type="cellIs" dxfId="22" priority="14" stopIfTrue="1" operator="equal">
      <formula>0</formula>
    </cfRule>
  </conditionalFormatting>
  <conditionalFormatting sqref="I109:K109 I111:K111">
    <cfRule type="cellIs" dxfId="21" priority="7" stopIfTrue="1" operator="equal">
      <formula>0</formula>
    </cfRule>
  </conditionalFormatting>
  <conditionalFormatting sqref="I113:K113">
    <cfRule type="cellIs" dxfId="20" priority="6" stopIfTrue="1" operator="equal">
      <formula>0</formula>
    </cfRule>
  </conditionalFormatting>
  <conditionalFormatting sqref="I118:K118 I120:K121">
    <cfRule type="cellIs" dxfId="19" priority="5" stopIfTrue="1" operator="equal">
      <formula>0</formula>
    </cfRule>
  </conditionalFormatting>
  <conditionalFormatting sqref="I183:K184">
    <cfRule type="cellIs" dxfId="18" priority="4" stopIfTrue="1" operator="equal">
      <formula>0</formula>
    </cfRule>
  </conditionalFormatting>
  <conditionalFormatting sqref="I183:K187">
    <cfRule type="cellIs" dxfId="17" priority="3" stopIfTrue="1" operator="equal">
      <formula>0</formula>
    </cfRule>
  </conditionalFormatting>
  <conditionalFormatting sqref="I188:K207 L207 L201 L182">
    <cfRule type="cellIs" dxfId="16" priority="13" stopIfTrue="1" operator="equal">
      <formula>0</formula>
    </cfRule>
  </conditionalFormatting>
  <conditionalFormatting sqref="I207:L207 I237:L237">
    <cfRule type="cellIs" dxfId="15" priority="12" stopIfTrue="1" operator="equal">
      <formula>0</formula>
    </cfRule>
  </conditionalFormatting>
  <conditionalFormatting sqref="I210:K221 L221 L211:L218">
    <cfRule type="cellIs" dxfId="14" priority="9" stopIfTrue="1" operator="equal">
      <formula>0</formula>
    </cfRule>
  </conditionalFormatting>
  <pageMargins left="0.7" right="0.7" top="0.75" bottom="0.75" header="0.3" footer="0.3"/>
  <pageSetup paperSize="9" scale="69" fitToWidth="0" orientation="portrait" verticalDpi="0" r:id="rId1"/>
  <rowBreaks count="2" manualBreakCount="2">
    <brk id="41" max="16383" man="1"/>
    <brk id="1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8"/>
  <sheetViews>
    <sheetView tabSelected="1" zoomScaleNormal="100" workbookViewId="0">
      <selection activeCell="O216" sqref="O216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  <col min="16" max="16" width="8" customWidth="1"/>
  </cols>
  <sheetData>
    <row r="1" spans="1:7" ht="17.25" customHeight="1" x14ac:dyDescent="0.25">
      <c r="A1" s="8"/>
      <c r="B1" s="84"/>
      <c r="C1" s="82" t="s">
        <v>214</v>
      </c>
      <c r="D1" s="82"/>
      <c r="E1" s="82"/>
      <c r="F1" s="85"/>
      <c r="G1" s="85"/>
    </row>
    <row r="2" spans="1:7" ht="14.25" customHeight="1" x14ac:dyDescent="0.25">
      <c r="A2" s="8"/>
      <c r="B2" s="4" t="s">
        <v>215</v>
      </c>
      <c r="C2" s="5"/>
      <c r="D2" s="84"/>
      <c r="E2" s="84"/>
      <c r="F2" s="83"/>
      <c r="G2" s="83"/>
    </row>
    <row r="3" spans="1:7" ht="15.75" customHeight="1" x14ac:dyDescent="0.25">
      <c r="A3" s="8"/>
      <c r="B3" s="4" t="s">
        <v>218</v>
      </c>
      <c r="C3" s="5"/>
      <c r="D3" s="84"/>
      <c r="E3" s="84"/>
      <c r="F3" s="83"/>
      <c r="G3" s="83"/>
    </row>
    <row r="4" spans="1:7" ht="15.75" customHeight="1" x14ac:dyDescent="0.25">
      <c r="A4" s="8"/>
      <c r="B4" s="4" t="s">
        <v>216</v>
      </c>
      <c r="C4" s="5"/>
      <c r="D4" s="84"/>
      <c r="E4" s="84"/>
      <c r="F4" s="83"/>
      <c r="G4" s="83"/>
    </row>
    <row r="5" spans="1:7" ht="15.75" customHeight="1" x14ac:dyDescent="0.25">
      <c r="A5" s="8"/>
      <c r="B5" s="4" t="s">
        <v>268</v>
      </c>
      <c r="C5" s="5"/>
      <c r="D5" s="84"/>
      <c r="E5" s="84"/>
      <c r="F5" s="83"/>
      <c r="G5" s="83"/>
    </row>
    <row r="6" spans="1:7" ht="15.75" customHeight="1" x14ac:dyDescent="0.25">
      <c r="A6" s="8"/>
      <c r="B6" s="4" t="s">
        <v>217</v>
      </c>
      <c r="C6" s="5"/>
      <c r="D6" s="84"/>
      <c r="E6" s="84"/>
      <c r="F6" s="83"/>
      <c r="G6" s="83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314" t="s">
        <v>213</v>
      </c>
      <c r="B8" s="314"/>
      <c r="C8" s="314"/>
      <c r="D8" s="314"/>
      <c r="E8" s="314"/>
      <c r="F8" s="314"/>
      <c r="G8" s="314"/>
    </row>
    <row r="9" spans="1:7" ht="15.75" thickBot="1" x14ac:dyDescent="0.3">
      <c r="A9" s="8"/>
      <c r="B9" s="11"/>
      <c r="C9" s="11"/>
      <c r="D9" s="10"/>
      <c r="E9" s="9"/>
      <c r="G9" s="62" t="s">
        <v>212</v>
      </c>
    </row>
    <row r="10" spans="1:7" ht="24.75" thickBot="1" x14ac:dyDescent="0.3">
      <c r="A10" s="12" t="s">
        <v>0</v>
      </c>
      <c r="B10" s="65" t="s">
        <v>76</v>
      </c>
      <c r="C10" s="65" t="s">
        <v>77</v>
      </c>
      <c r="D10" s="65" t="s">
        <v>78</v>
      </c>
      <c r="E10" s="13" t="s">
        <v>211</v>
      </c>
      <c r="F10" s="226" t="s">
        <v>209</v>
      </c>
      <c r="G10" s="36" t="s">
        <v>210</v>
      </c>
    </row>
    <row r="11" spans="1:7" ht="36" x14ac:dyDescent="0.25">
      <c r="A11" s="296" t="s">
        <v>2</v>
      </c>
      <c r="B11" s="63" t="s">
        <v>79</v>
      </c>
      <c r="C11" s="64" t="s">
        <v>80</v>
      </c>
      <c r="D11" s="27" t="s">
        <v>81</v>
      </c>
      <c r="E11" s="50">
        <v>111110</v>
      </c>
      <c r="F11" s="227"/>
      <c r="G11" s="228">
        <f>E11+F11</f>
        <v>111110</v>
      </c>
    </row>
    <row r="12" spans="1:7" ht="24.75" thickBot="1" x14ac:dyDescent="0.3">
      <c r="A12" s="296"/>
      <c r="B12" s="16" t="s">
        <v>82</v>
      </c>
      <c r="C12" s="17"/>
      <c r="D12" s="18"/>
      <c r="E12" s="44">
        <f>SUBTOTAL(9,E11:E11)</f>
        <v>111110</v>
      </c>
      <c r="F12" s="229"/>
      <c r="G12" s="216">
        <f t="shared" ref="G12:G79" si="0">E12+F12</f>
        <v>111110</v>
      </c>
    </row>
    <row r="13" spans="1:7" x14ac:dyDescent="0.25">
      <c r="A13" s="315" t="s">
        <v>4</v>
      </c>
      <c r="B13" s="318" t="s">
        <v>83</v>
      </c>
      <c r="C13" s="319" t="s">
        <v>80</v>
      </c>
      <c r="D13" s="19" t="s">
        <v>81</v>
      </c>
      <c r="E13" s="45">
        <v>7134844</v>
      </c>
      <c r="F13" s="202">
        <v>27500</v>
      </c>
      <c r="G13" s="228">
        <f t="shared" si="0"/>
        <v>7162344</v>
      </c>
    </row>
    <row r="14" spans="1:7" x14ac:dyDescent="0.25">
      <c r="A14" s="316"/>
      <c r="B14" s="310"/>
      <c r="C14" s="320"/>
      <c r="D14" s="20" t="s">
        <v>84</v>
      </c>
      <c r="E14" s="46">
        <f>19200+12500-1700</f>
        <v>30000</v>
      </c>
      <c r="F14" s="197"/>
      <c r="G14" s="228">
        <f t="shared" si="0"/>
        <v>30000</v>
      </c>
    </row>
    <row r="15" spans="1:7" x14ac:dyDescent="0.25">
      <c r="A15" s="316"/>
      <c r="B15" s="310"/>
      <c r="C15" s="320"/>
      <c r="D15" s="20" t="s">
        <v>85</v>
      </c>
      <c r="E15" s="46">
        <v>263059</v>
      </c>
      <c r="F15" s="157"/>
      <c r="G15" s="228">
        <f t="shared" si="0"/>
        <v>263059</v>
      </c>
    </row>
    <row r="16" spans="1:7" x14ac:dyDescent="0.25">
      <c r="A16" s="316"/>
      <c r="B16" s="310"/>
      <c r="C16" s="320"/>
      <c r="D16" s="20" t="s">
        <v>86</v>
      </c>
      <c r="E16" s="46">
        <v>62920</v>
      </c>
      <c r="F16" s="197"/>
      <c r="G16" s="228">
        <f>E16+F16</f>
        <v>62920</v>
      </c>
    </row>
    <row r="17" spans="1:7" x14ac:dyDescent="0.25">
      <c r="A17" s="316"/>
      <c r="B17" s="310"/>
      <c r="C17" s="321"/>
      <c r="D17" s="20" t="s">
        <v>92</v>
      </c>
      <c r="E17" s="46">
        <v>7500</v>
      </c>
      <c r="F17" s="48"/>
      <c r="G17" s="228">
        <f>E17+F17</f>
        <v>7500</v>
      </c>
    </row>
    <row r="18" spans="1:7" x14ac:dyDescent="0.25">
      <c r="A18" s="316"/>
      <c r="B18" s="310"/>
      <c r="C18" s="21" t="s">
        <v>87</v>
      </c>
      <c r="D18" s="22"/>
      <c r="E18" s="47">
        <f>SUBTOTAL(9,E13:E17)</f>
        <v>7498323</v>
      </c>
      <c r="F18" s="47">
        <f>SUBTOTAL(9,F13:F17)</f>
        <v>27500</v>
      </c>
      <c r="G18" s="230">
        <f t="shared" si="0"/>
        <v>7525823</v>
      </c>
    </row>
    <row r="19" spans="1:7" x14ac:dyDescent="0.25">
      <c r="A19" s="316"/>
      <c r="B19" s="310"/>
      <c r="C19" s="309" t="s">
        <v>88</v>
      </c>
      <c r="D19" s="20" t="s">
        <v>81</v>
      </c>
      <c r="E19" s="46">
        <v>1138000</v>
      </c>
      <c r="F19" s="157">
        <v>-100000</v>
      </c>
      <c r="G19" s="228">
        <f t="shared" si="0"/>
        <v>1038000</v>
      </c>
    </row>
    <row r="20" spans="1:7" x14ac:dyDescent="0.25">
      <c r="A20" s="316"/>
      <c r="B20" s="310"/>
      <c r="C20" s="309"/>
      <c r="D20" s="20" t="s">
        <v>84</v>
      </c>
      <c r="E20" s="46">
        <f>49050+72000</f>
        <v>121050</v>
      </c>
      <c r="F20" s="197"/>
      <c r="G20" s="228">
        <f t="shared" si="0"/>
        <v>121050</v>
      </c>
    </row>
    <row r="21" spans="1:7" x14ac:dyDescent="0.25">
      <c r="A21" s="316"/>
      <c r="B21" s="310"/>
      <c r="C21" s="309"/>
      <c r="D21" s="20" t="s">
        <v>89</v>
      </c>
      <c r="E21" s="46">
        <v>300000</v>
      </c>
      <c r="F21" s="197"/>
      <c r="G21" s="228">
        <f t="shared" si="0"/>
        <v>300000</v>
      </c>
    </row>
    <row r="22" spans="1:7" x14ac:dyDescent="0.25">
      <c r="A22" s="316"/>
      <c r="B22" s="310"/>
      <c r="C22" s="21" t="s">
        <v>90</v>
      </c>
      <c r="D22" s="22"/>
      <c r="E22" s="47">
        <f>SUM(E19:E21)</f>
        <v>1559050</v>
      </c>
      <c r="F22" s="47">
        <f>SUM(F19:F21)</f>
        <v>-100000</v>
      </c>
      <c r="G22" s="230">
        <f t="shared" si="0"/>
        <v>1459050</v>
      </c>
    </row>
    <row r="23" spans="1:7" x14ac:dyDescent="0.25">
      <c r="A23" s="316"/>
      <c r="B23" s="310"/>
      <c r="C23" s="309" t="s">
        <v>91</v>
      </c>
      <c r="D23" s="20" t="s">
        <v>81</v>
      </c>
      <c r="E23" s="46">
        <f>86972+80000+60000</f>
        <v>226972</v>
      </c>
      <c r="F23" s="197"/>
      <c r="G23" s="228">
        <f t="shared" si="0"/>
        <v>226972</v>
      </c>
    </row>
    <row r="24" spans="1:7" x14ac:dyDescent="0.25">
      <c r="A24" s="316"/>
      <c r="B24" s="310"/>
      <c r="C24" s="310"/>
      <c r="D24" s="20" t="s">
        <v>85</v>
      </c>
      <c r="E24" s="46">
        <v>416800</v>
      </c>
      <c r="F24" s="197"/>
      <c r="G24" s="228">
        <f t="shared" si="0"/>
        <v>416800</v>
      </c>
    </row>
    <row r="25" spans="1:7" x14ac:dyDescent="0.25">
      <c r="A25" s="316"/>
      <c r="B25" s="310"/>
      <c r="C25" s="310"/>
      <c r="D25" s="20" t="s">
        <v>92</v>
      </c>
      <c r="E25" s="46">
        <v>21880</v>
      </c>
      <c r="F25" s="197"/>
      <c r="G25" s="228">
        <f t="shared" si="0"/>
        <v>21880</v>
      </c>
    </row>
    <row r="26" spans="1:7" x14ac:dyDescent="0.25">
      <c r="A26" s="316"/>
      <c r="B26" s="310"/>
      <c r="C26" s="310"/>
      <c r="D26" s="20" t="s">
        <v>93</v>
      </c>
      <c r="E26" s="46">
        <v>126830</v>
      </c>
      <c r="F26" s="197"/>
      <c r="G26" s="228">
        <f t="shared" si="0"/>
        <v>126830</v>
      </c>
    </row>
    <row r="27" spans="1:7" x14ac:dyDescent="0.25">
      <c r="A27" s="316"/>
      <c r="B27" s="310"/>
      <c r="C27" s="21" t="s">
        <v>94</v>
      </c>
      <c r="D27" s="22"/>
      <c r="E27" s="47">
        <f>SUBTOTAL(9,E23:E26)</f>
        <v>792482</v>
      </c>
      <c r="F27" s="47">
        <f>SUBTOTAL(9,F23:F26)</f>
        <v>0</v>
      </c>
      <c r="G27" s="230">
        <f t="shared" si="0"/>
        <v>792482</v>
      </c>
    </row>
    <row r="28" spans="1:7" x14ac:dyDescent="0.25">
      <c r="A28" s="316"/>
      <c r="B28" s="310"/>
      <c r="C28" s="309" t="s">
        <v>95</v>
      </c>
      <c r="D28" s="20" t="s">
        <v>81</v>
      </c>
      <c r="E28" s="46">
        <v>4858645</v>
      </c>
      <c r="F28" s="157">
        <v>-1691346</v>
      </c>
      <c r="G28" s="228">
        <f t="shared" si="0"/>
        <v>3167299</v>
      </c>
    </row>
    <row r="29" spans="1:7" x14ac:dyDescent="0.25">
      <c r="A29" s="316"/>
      <c r="B29" s="310"/>
      <c r="C29" s="310"/>
      <c r="D29" s="20" t="s">
        <v>96</v>
      </c>
      <c r="E29" s="46">
        <v>1760000</v>
      </c>
      <c r="F29" s="197"/>
      <c r="G29" s="228">
        <f t="shared" si="0"/>
        <v>1760000</v>
      </c>
    </row>
    <row r="30" spans="1:7" x14ac:dyDescent="0.25">
      <c r="A30" s="316"/>
      <c r="B30" s="310"/>
      <c r="C30" s="310"/>
      <c r="D30" s="20" t="s">
        <v>97</v>
      </c>
      <c r="E30" s="46">
        <v>430000</v>
      </c>
      <c r="F30" s="197"/>
      <c r="G30" s="228">
        <f t="shared" si="0"/>
        <v>430000</v>
      </c>
    </row>
    <row r="31" spans="1:7" x14ac:dyDescent="0.25">
      <c r="A31" s="316"/>
      <c r="B31" s="310"/>
      <c r="C31" s="310"/>
      <c r="D31" s="20" t="s">
        <v>89</v>
      </c>
      <c r="E31" s="46">
        <v>175000</v>
      </c>
      <c r="F31" s="197"/>
      <c r="G31" s="228">
        <f t="shared" si="0"/>
        <v>175000</v>
      </c>
    </row>
    <row r="32" spans="1:7" x14ac:dyDescent="0.25">
      <c r="A32" s="316"/>
      <c r="B32" s="310"/>
      <c r="C32" s="310"/>
      <c r="D32" s="20" t="s">
        <v>92</v>
      </c>
      <c r="E32" s="46">
        <v>112993</v>
      </c>
      <c r="F32" s="157"/>
      <c r="G32" s="228">
        <f t="shared" si="0"/>
        <v>112993</v>
      </c>
    </row>
    <row r="33" spans="1:7" x14ac:dyDescent="0.25">
      <c r="A33" s="316"/>
      <c r="B33" s="310"/>
      <c r="C33" s="310"/>
      <c r="D33" s="20" t="s">
        <v>110</v>
      </c>
      <c r="E33" s="46">
        <v>437223</v>
      </c>
      <c r="F33" s="157">
        <v>403</v>
      </c>
      <c r="G33" s="228">
        <f t="shared" si="0"/>
        <v>437626</v>
      </c>
    </row>
    <row r="34" spans="1:7" x14ac:dyDescent="0.25">
      <c r="A34" s="316"/>
      <c r="B34" s="310"/>
      <c r="C34" s="310"/>
      <c r="D34" s="20" t="s">
        <v>93</v>
      </c>
      <c r="E34" s="46">
        <v>2403425</v>
      </c>
      <c r="F34" s="157"/>
      <c r="G34" s="228">
        <f t="shared" si="0"/>
        <v>2403425</v>
      </c>
    </row>
    <row r="35" spans="1:7" x14ac:dyDescent="0.25">
      <c r="A35" s="316"/>
      <c r="B35" s="310"/>
      <c r="C35" s="21" t="s">
        <v>98</v>
      </c>
      <c r="D35" s="22"/>
      <c r="E35" s="47">
        <f>SUBTOTAL(9,E28:E34)</f>
        <v>10177286</v>
      </c>
      <c r="F35" s="47">
        <f>SUBTOTAL(9,F28:F34)</f>
        <v>-1690943</v>
      </c>
      <c r="G35" s="230">
        <f t="shared" si="0"/>
        <v>8486343</v>
      </c>
    </row>
    <row r="36" spans="1:7" x14ac:dyDescent="0.25">
      <c r="A36" s="316"/>
      <c r="B36" s="310"/>
      <c r="C36" s="309" t="s">
        <v>99</v>
      </c>
      <c r="D36" s="20" t="s">
        <v>81</v>
      </c>
      <c r="E36" s="46">
        <f>5998560+924740</f>
        <v>6923300</v>
      </c>
      <c r="F36" s="157"/>
      <c r="G36" s="228">
        <f t="shared" si="0"/>
        <v>6923300</v>
      </c>
    </row>
    <row r="37" spans="1:7" x14ac:dyDescent="0.25">
      <c r="A37" s="316"/>
      <c r="B37" s="310"/>
      <c r="C37" s="309"/>
      <c r="D37" s="20" t="s">
        <v>100</v>
      </c>
      <c r="E37" s="46">
        <f>139000+126000</f>
        <v>265000</v>
      </c>
      <c r="F37" s="197"/>
      <c r="G37" s="228">
        <f t="shared" si="0"/>
        <v>265000</v>
      </c>
    </row>
    <row r="38" spans="1:7" x14ac:dyDescent="0.25">
      <c r="A38" s="316"/>
      <c r="B38" s="310"/>
      <c r="C38" s="309"/>
      <c r="D38" s="20" t="s">
        <v>101</v>
      </c>
      <c r="E38" s="46">
        <f>81678+160227</f>
        <v>241905</v>
      </c>
      <c r="F38" s="197"/>
      <c r="G38" s="228">
        <f t="shared" si="0"/>
        <v>241905</v>
      </c>
    </row>
    <row r="39" spans="1:7" x14ac:dyDescent="0.25">
      <c r="A39" s="316"/>
      <c r="B39" s="310"/>
      <c r="C39" s="309"/>
      <c r="D39" s="20" t="s">
        <v>102</v>
      </c>
      <c r="E39" s="46">
        <v>2390900</v>
      </c>
      <c r="F39" s="157"/>
      <c r="G39" s="228">
        <f t="shared" si="0"/>
        <v>2390900</v>
      </c>
    </row>
    <row r="40" spans="1:7" x14ac:dyDescent="0.25">
      <c r="A40" s="316"/>
      <c r="B40" s="310"/>
      <c r="C40" s="21" t="s">
        <v>103</v>
      </c>
      <c r="D40" s="22"/>
      <c r="E40" s="47">
        <f>SUBTOTAL(9,E36:E39)</f>
        <v>9821105</v>
      </c>
      <c r="F40" s="47">
        <f>SUBTOTAL(9,F36:F39)</f>
        <v>0</v>
      </c>
      <c r="G40" s="230">
        <f t="shared" si="0"/>
        <v>9821105</v>
      </c>
    </row>
    <row r="41" spans="1:7" x14ac:dyDescent="0.25">
      <c r="A41" s="316"/>
      <c r="B41" s="310"/>
      <c r="C41" s="309" t="s">
        <v>104</v>
      </c>
      <c r="D41" s="20" t="s">
        <v>81</v>
      </c>
      <c r="E41" s="46">
        <v>247320</v>
      </c>
      <c r="F41" s="157"/>
      <c r="G41" s="228">
        <f t="shared" si="0"/>
        <v>247320</v>
      </c>
    </row>
    <row r="42" spans="1:7" x14ac:dyDescent="0.25">
      <c r="A42" s="316"/>
      <c r="B42" s="310"/>
      <c r="C42" s="309"/>
      <c r="D42" s="20" t="s">
        <v>101</v>
      </c>
      <c r="E42" s="46">
        <v>32680</v>
      </c>
      <c r="F42" s="197"/>
      <c r="G42" s="228">
        <f t="shared" si="0"/>
        <v>32680</v>
      </c>
    </row>
    <row r="43" spans="1:7" x14ac:dyDescent="0.25">
      <c r="A43" s="316"/>
      <c r="B43" s="310"/>
      <c r="C43" s="21" t="s">
        <v>105</v>
      </c>
      <c r="D43" s="22"/>
      <c r="E43" s="47">
        <f>SUBTOTAL(9,E41:E42)</f>
        <v>280000</v>
      </c>
      <c r="F43" s="47">
        <f>SUBTOTAL(9,F41:F42)</f>
        <v>0</v>
      </c>
      <c r="G43" s="230">
        <f t="shared" si="0"/>
        <v>280000</v>
      </c>
    </row>
    <row r="44" spans="1:7" x14ac:dyDescent="0.25">
      <c r="A44" s="316"/>
      <c r="B44" s="310"/>
      <c r="C44" s="207" t="s">
        <v>106</v>
      </c>
      <c r="D44" s="20" t="s">
        <v>81</v>
      </c>
      <c r="E44" s="46">
        <v>459000</v>
      </c>
      <c r="F44" s="157"/>
      <c r="G44" s="228">
        <f t="shared" si="0"/>
        <v>459000</v>
      </c>
    </row>
    <row r="45" spans="1:7" x14ac:dyDescent="0.25">
      <c r="A45" s="316"/>
      <c r="B45" s="310"/>
      <c r="C45" s="21" t="s">
        <v>107</v>
      </c>
      <c r="D45" s="22"/>
      <c r="E45" s="47">
        <f>SUBTOTAL(9,E44:E44)</f>
        <v>459000</v>
      </c>
      <c r="F45" s="47">
        <f>SUBTOTAL(9,F44:F44)</f>
        <v>0</v>
      </c>
      <c r="G45" s="230">
        <f t="shared" si="0"/>
        <v>459000</v>
      </c>
    </row>
    <row r="46" spans="1:7" x14ac:dyDescent="0.25">
      <c r="A46" s="316"/>
      <c r="B46" s="310"/>
      <c r="C46" s="309" t="s">
        <v>108</v>
      </c>
      <c r="D46" s="20" t="s">
        <v>81</v>
      </c>
      <c r="E46" s="46">
        <v>1326085</v>
      </c>
      <c r="F46" s="157">
        <v>-46485</v>
      </c>
      <c r="G46" s="228">
        <f t="shared" si="0"/>
        <v>1279600</v>
      </c>
    </row>
    <row r="47" spans="1:7" x14ac:dyDescent="0.25">
      <c r="A47" s="316"/>
      <c r="B47" s="310"/>
      <c r="C47" s="310"/>
      <c r="D47" s="20" t="s">
        <v>109</v>
      </c>
      <c r="E47" s="46">
        <v>398215</v>
      </c>
      <c r="F47" s="157">
        <v>-398215</v>
      </c>
      <c r="G47" s="228">
        <f t="shared" si="0"/>
        <v>0</v>
      </c>
    </row>
    <row r="48" spans="1:7" x14ac:dyDescent="0.25">
      <c r="A48" s="316"/>
      <c r="B48" s="310"/>
      <c r="C48" s="310"/>
      <c r="D48" s="20" t="s">
        <v>92</v>
      </c>
      <c r="E48" s="46">
        <v>393463</v>
      </c>
      <c r="F48" s="157"/>
      <c r="G48" s="228">
        <f t="shared" si="0"/>
        <v>393463</v>
      </c>
    </row>
    <row r="49" spans="1:11" x14ac:dyDescent="0.25">
      <c r="A49" s="316"/>
      <c r="B49" s="310"/>
      <c r="C49" s="310"/>
      <c r="D49" s="20" t="s">
        <v>110</v>
      </c>
      <c r="E49" s="46">
        <v>409599</v>
      </c>
      <c r="F49" s="157"/>
      <c r="G49" s="228">
        <f t="shared" si="0"/>
        <v>409599</v>
      </c>
    </row>
    <row r="50" spans="1:11" x14ac:dyDescent="0.25">
      <c r="A50" s="316"/>
      <c r="B50" s="310"/>
      <c r="C50" s="310"/>
      <c r="D50" s="20" t="s">
        <v>86</v>
      </c>
      <c r="E50" s="46">
        <v>696818</v>
      </c>
      <c r="F50" s="157"/>
      <c r="G50" s="228">
        <f t="shared" si="0"/>
        <v>696818</v>
      </c>
      <c r="H50" s="78"/>
      <c r="I50" s="78"/>
    </row>
    <row r="51" spans="1:11" ht="24" x14ac:dyDescent="0.25">
      <c r="A51" s="316"/>
      <c r="B51" s="310"/>
      <c r="C51" s="207" t="s">
        <v>111</v>
      </c>
      <c r="D51" s="20" t="s">
        <v>109</v>
      </c>
      <c r="E51" s="48">
        <v>3067111</v>
      </c>
      <c r="F51" s="157">
        <v>19200</v>
      </c>
      <c r="G51" s="228">
        <f t="shared" si="0"/>
        <v>3086311</v>
      </c>
      <c r="H51" s="78"/>
    </row>
    <row r="52" spans="1:11" ht="36" x14ac:dyDescent="0.25">
      <c r="A52" s="316"/>
      <c r="B52" s="310"/>
      <c r="C52" s="207" t="s">
        <v>264</v>
      </c>
      <c r="D52" s="20" t="s">
        <v>109</v>
      </c>
      <c r="E52" s="48">
        <v>504</v>
      </c>
      <c r="F52" s="231"/>
      <c r="G52" s="228">
        <f t="shared" si="0"/>
        <v>504</v>
      </c>
    </row>
    <row r="53" spans="1:11" x14ac:dyDescent="0.25">
      <c r="A53" s="316"/>
      <c r="B53" s="310"/>
      <c r="C53" s="21" t="s">
        <v>112</v>
      </c>
      <c r="D53" s="22"/>
      <c r="E53" s="47">
        <f>SUBTOTAL(9,E46:E52)</f>
        <v>6291795</v>
      </c>
      <c r="F53" s="47">
        <f t="shared" ref="F53:G53" si="1">SUBTOTAL(9,F46:F52)</f>
        <v>-425500</v>
      </c>
      <c r="G53" s="166">
        <f t="shared" si="1"/>
        <v>5866295</v>
      </c>
    </row>
    <row r="54" spans="1:11" x14ac:dyDescent="0.25">
      <c r="A54" s="316"/>
      <c r="B54" s="310"/>
      <c r="C54" s="309" t="s">
        <v>113</v>
      </c>
      <c r="D54" s="20" t="s">
        <v>81</v>
      </c>
      <c r="E54" s="46">
        <f>274344+3366000</f>
        <v>3640344</v>
      </c>
      <c r="F54" s="157">
        <v>-148168</v>
      </c>
      <c r="G54" s="228">
        <f t="shared" si="0"/>
        <v>3492176</v>
      </c>
    </row>
    <row r="55" spans="1:11" x14ac:dyDescent="0.25">
      <c r="A55" s="316"/>
      <c r="B55" s="310"/>
      <c r="C55" s="310"/>
      <c r="D55" s="20" t="s">
        <v>85</v>
      </c>
      <c r="E55" s="46">
        <v>2498100</v>
      </c>
      <c r="F55" s="157">
        <v>193900</v>
      </c>
      <c r="G55" s="228">
        <f t="shared" si="0"/>
        <v>2692000</v>
      </c>
    </row>
    <row r="56" spans="1:11" x14ac:dyDescent="0.25">
      <c r="A56" s="316"/>
      <c r="B56" s="310"/>
      <c r="C56" s="310"/>
      <c r="D56" s="20" t="s">
        <v>92</v>
      </c>
      <c r="E56" s="46">
        <v>6150</v>
      </c>
      <c r="F56" s="157"/>
      <c r="G56" s="228">
        <f t="shared" si="0"/>
        <v>6150</v>
      </c>
    </row>
    <row r="57" spans="1:11" x14ac:dyDescent="0.25">
      <c r="A57" s="316"/>
      <c r="B57" s="310"/>
      <c r="C57" s="310"/>
      <c r="D57" s="20" t="s">
        <v>110</v>
      </c>
      <c r="E57" s="46">
        <v>307470</v>
      </c>
      <c r="F57" s="157">
        <v>129</v>
      </c>
      <c r="G57" s="228">
        <f t="shared" si="0"/>
        <v>307599</v>
      </c>
      <c r="H57" s="78"/>
      <c r="I57" s="78"/>
      <c r="J57" s="78"/>
      <c r="K57" s="170"/>
    </row>
    <row r="58" spans="1:11" x14ac:dyDescent="0.25">
      <c r="A58" s="316"/>
      <c r="B58" s="310"/>
      <c r="C58" s="310"/>
      <c r="D58" s="20" t="s">
        <v>86</v>
      </c>
      <c r="E58" s="46">
        <v>40170</v>
      </c>
      <c r="F58" s="157"/>
      <c r="G58" s="228">
        <f t="shared" si="0"/>
        <v>40170</v>
      </c>
    </row>
    <row r="59" spans="1:11" x14ac:dyDescent="0.25">
      <c r="A59" s="316"/>
      <c r="B59" s="310"/>
      <c r="C59" s="21" t="s">
        <v>114</v>
      </c>
      <c r="D59" s="22"/>
      <c r="E59" s="47">
        <f>SUBTOTAL(9,E54:E58)</f>
        <v>6492234</v>
      </c>
      <c r="F59" s="47">
        <f>SUBTOTAL(9,F54:F58)</f>
        <v>45861</v>
      </c>
      <c r="G59" s="230">
        <f t="shared" si="0"/>
        <v>6538095</v>
      </c>
    </row>
    <row r="60" spans="1:11" ht="24" x14ac:dyDescent="0.25">
      <c r="A60" s="316"/>
      <c r="B60" s="310"/>
      <c r="C60" s="23" t="s">
        <v>115</v>
      </c>
      <c r="D60" s="20" t="s">
        <v>81</v>
      </c>
      <c r="E60" s="46">
        <v>871000</v>
      </c>
      <c r="F60" s="197"/>
      <c r="G60" s="228">
        <f t="shared" si="0"/>
        <v>871000</v>
      </c>
    </row>
    <row r="61" spans="1:11" x14ac:dyDescent="0.25">
      <c r="A61" s="316"/>
      <c r="B61" s="310"/>
      <c r="C61" s="21" t="s">
        <v>116</v>
      </c>
      <c r="D61" s="20"/>
      <c r="E61" s="47">
        <f>SUBTOTAL(9,E60:E60)</f>
        <v>871000</v>
      </c>
      <c r="F61" s="197"/>
      <c r="G61" s="230">
        <f t="shared" si="0"/>
        <v>871000</v>
      </c>
    </row>
    <row r="62" spans="1:11" ht="15" customHeight="1" x14ac:dyDescent="0.25">
      <c r="A62" s="316"/>
      <c r="B62" s="310"/>
      <c r="C62" s="311" t="s">
        <v>117</v>
      </c>
      <c r="D62" s="20" t="s">
        <v>81</v>
      </c>
      <c r="E62" s="46">
        <v>118000</v>
      </c>
      <c r="F62" s="197"/>
      <c r="G62" s="228">
        <f t="shared" si="0"/>
        <v>118000</v>
      </c>
    </row>
    <row r="63" spans="1:11" x14ac:dyDescent="0.25">
      <c r="A63" s="316"/>
      <c r="B63" s="310"/>
      <c r="C63" s="312"/>
      <c r="D63" s="20" t="s">
        <v>100</v>
      </c>
      <c r="E63" s="46">
        <v>62000</v>
      </c>
      <c r="F63" s="197"/>
      <c r="G63" s="228">
        <f t="shared" si="0"/>
        <v>62000</v>
      </c>
    </row>
    <row r="64" spans="1:11" x14ac:dyDescent="0.25">
      <c r="A64" s="316"/>
      <c r="B64" s="310"/>
      <c r="C64" s="312"/>
      <c r="D64" s="20" t="s">
        <v>85</v>
      </c>
      <c r="E64" s="46">
        <v>97088</v>
      </c>
      <c r="F64" s="197"/>
      <c r="G64" s="228">
        <f t="shared" si="0"/>
        <v>97088</v>
      </c>
    </row>
    <row r="65" spans="1:10" x14ac:dyDescent="0.25">
      <c r="A65" s="316"/>
      <c r="B65" s="310"/>
      <c r="C65" s="313"/>
      <c r="D65" s="20" t="s">
        <v>110</v>
      </c>
      <c r="E65" s="46"/>
      <c r="F65" s="197">
        <v>899</v>
      </c>
      <c r="G65" s="228">
        <f t="shared" si="0"/>
        <v>899</v>
      </c>
    </row>
    <row r="66" spans="1:10" x14ac:dyDescent="0.25">
      <c r="A66" s="316"/>
      <c r="B66" s="310"/>
      <c r="C66" s="21" t="s">
        <v>118</v>
      </c>
      <c r="D66" s="22"/>
      <c r="E66" s="47">
        <f>SUBTOTAL(9,E62:E64)</f>
        <v>277088</v>
      </c>
      <c r="F66" s="232">
        <f>SUM(F62:F65)</f>
        <v>899</v>
      </c>
      <c r="G66" s="230">
        <f t="shared" si="0"/>
        <v>277987</v>
      </c>
    </row>
    <row r="67" spans="1:10" ht="24.75" thickBot="1" x14ac:dyDescent="0.3">
      <c r="A67" s="317"/>
      <c r="B67" s="24" t="s">
        <v>82</v>
      </c>
      <c r="C67" s="25"/>
      <c r="D67" s="26"/>
      <c r="E67" s="49">
        <f>E18+E22+E27+E35+E40+E43+E45+E53+E59+E61+E66</f>
        <v>44519363</v>
      </c>
      <c r="F67" s="49">
        <f>F18+F22+F27+F35+F40+F43+F45+F53+F59+F61+F66</f>
        <v>-2142183</v>
      </c>
      <c r="G67" s="216">
        <f t="shared" si="0"/>
        <v>42377180</v>
      </c>
      <c r="I67" s="79"/>
    </row>
    <row r="68" spans="1:10" x14ac:dyDescent="0.25">
      <c r="A68" s="296" t="s">
        <v>6</v>
      </c>
      <c r="B68" s="299" t="s">
        <v>119</v>
      </c>
      <c r="C68" s="299" t="s">
        <v>80</v>
      </c>
      <c r="D68" s="27" t="s">
        <v>81</v>
      </c>
      <c r="E68" s="50">
        <v>33229</v>
      </c>
      <c r="F68" s="202"/>
      <c r="G68" s="228">
        <f t="shared" si="0"/>
        <v>33229</v>
      </c>
    </row>
    <row r="69" spans="1:10" x14ac:dyDescent="0.25">
      <c r="A69" s="296"/>
      <c r="B69" s="300"/>
      <c r="C69" s="300"/>
      <c r="D69" s="208" t="s">
        <v>85</v>
      </c>
      <c r="E69" s="51">
        <v>734600</v>
      </c>
      <c r="F69" s="157">
        <v>17800</v>
      </c>
      <c r="G69" s="228">
        <f t="shared" si="0"/>
        <v>752400</v>
      </c>
    </row>
    <row r="70" spans="1:10" ht="24.75" thickBot="1" x14ac:dyDescent="0.3">
      <c r="A70" s="297"/>
      <c r="B70" s="28" t="s">
        <v>82</v>
      </c>
      <c r="C70" s="29"/>
      <c r="D70" s="30"/>
      <c r="E70" s="77">
        <f>SUBTOTAL(9,E68:E69)</f>
        <v>767829</v>
      </c>
      <c r="F70" s="52">
        <f>SUBTOTAL(9,F68:F69)</f>
        <v>17800</v>
      </c>
      <c r="G70" s="216">
        <f t="shared" si="0"/>
        <v>785629</v>
      </c>
    </row>
    <row r="71" spans="1:10" ht="36" x14ac:dyDescent="0.25">
      <c r="A71" s="295" t="s">
        <v>16</v>
      </c>
      <c r="B71" s="209" t="s">
        <v>120</v>
      </c>
      <c r="C71" s="31" t="s">
        <v>88</v>
      </c>
      <c r="D71" s="15" t="s">
        <v>81</v>
      </c>
      <c r="E71" s="43">
        <v>290432</v>
      </c>
      <c r="F71" s="202">
        <v>3700</v>
      </c>
      <c r="G71" s="228">
        <f t="shared" si="0"/>
        <v>294132</v>
      </c>
    </row>
    <row r="72" spans="1:10" ht="24.75" thickBot="1" x14ac:dyDescent="0.3">
      <c r="A72" s="297"/>
      <c r="B72" s="28" t="s">
        <v>82</v>
      </c>
      <c r="C72" s="29"/>
      <c r="D72" s="30"/>
      <c r="E72" s="52">
        <f>SUBTOTAL(9,E71:E71)</f>
        <v>290432</v>
      </c>
      <c r="F72" s="164">
        <f>SUM(F71)</f>
        <v>3700</v>
      </c>
      <c r="G72" s="216">
        <f t="shared" si="0"/>
        <v>294132</v>
      </c>
    </row>
    <row r="73" spans="1:10" ht="36" x14ac:dyDescent="0.25">
      <c r="A73" s="295" t="s">
        <v>24</v>
      </c>
      <c r="B73" s="14" t="s">
        <v>121</v>
      </c>
      <c r="C73" s="31" t="s">
        <v>88</v>
      </c>
      <c r="D73" s="15" t="s">
        <v>81</v>
      </c>
      <c r="E73" s="43">
        <v>160480</v>
      </c>
      <c r="F73" s="227"/>
      <c r="G73" s="228">
        <f t="shared" si="0"/>
        <v>160480</v>
      </c>
    </row>
    <row r="74" spans="1:10" ht="24.75" thickBot="1" x14ac:dyDescent="0.3">
      <c r="A74" s="297"/>
      <c r="B74" s="28" t="s">
        <v>82</v>
      </c>
      <c r="C74" s="29"/>
      <c r="D74" s="30"/>
      <c r="E74" s="52">
        <f>SUBTOTAL(9,E73:E73)</f>
        <v>160480</v>
      </c>
      <c r="F74" s="229"/>
      <c r="G74" s="216">
        <f t="shared" si="0"/>
        <v>160480</v>
      </c>
    </row>
    <row r="75" spans="1:10" ht="36" x14ac:dyDescent="0.25">
      <c r="A75" s="295" t="s">
        <v>26</v>
      </c>
      <c r="B75" s="14" t="s">
        <v>122</v>
      </c>
      <c r="C75" s="31" t="s">
        <v>88</v>
      </c>
      <c r="D75" s="15" t="s">
        <v>81</v>
      </c>
      <c r="E75" s="43">
        <v>151950</v>
      </c>
      <c r="F75" s="202">
        <v>10000</v>
      </c>
      <c r="G75" s="228">
        <f t="shared" si="0"/>
        <v>161950</v>
      </c>
      <c r="J75" s="79"/>
    </row>
    <row r="76" spans="1:10" ht="24.75" thickBot="1" x14ac:dyDescent="0.3">
      <c r="A76" s="297"/>
      <c r="B76" s="28" t="s">
        <v>82</v>
      </c>
      <c r="C76" s="29"/>
      <c r="D76" s="30"/>
      <c r="E76" s="52">
        <f>SUBTOTAL(9,E75:E75)</f>
        <v>151950</v>
      </c>
      <c r="F76" s="164">
        <f>SUM(F75)</f>
        <v>10000</v>
      </c>
      <c r="G76" s="216">
        <f t="shared" si="0"/>
        <v>161950</v>
      </c>
    </row>
    <row r="77" spans="1:10" ht="48" x14ac:dyDescent="0.25">
      <c r="A77" s="295" t="s">
        <v>30</v>
      </c>
      <c r="B77" s="31" t="s">
        <v>123</v>
      </c>
      <c r="C77" s="31" t="s">
        <v>88</v>
      </c>
      <c r="D77" s="15" t="s">
        <v>81</v>
      </c>
      <c r="E77" s="43">
        <v>1561626</v>
      </c>
      <c r="F77" s="202">
        <v>200000</v>
      </c>
      <c r="G77" s="228">
        <f t="shared" si="0"/>
        <v>1761626</v>
      </c>
    </row>
    <row r="78" spans="1:10" ht="24.75" thickBot="1" x14ac:dyDescent="0.3">
      <c r="A78" s="297"/>
      <c r="B78" s="28" t="s">
        <v>82</v>
      </c>
      <c r="C78" s="29"/>
      <c r="D78" s="30"/>
      <c r="E78" s="52">
        <f>SUBTOTAL(9,E77:E77)</f>
        <v>1561626</v>
      </c>
      <c r="F78" s="164">
        <f>SUM(F77)</f>
        <v>200000</v>
      </c>
      <c r="G78" s="216">
        <f t="shared" si="0"/>
        <v>1761626</v>
      </c>
    </row>
    <row r="79" spans="1:10" ht="36" x14ac:dyDescent="0.25">
      <c r="A79" s="295" t="s">
        <v>38</v>
      </c>
      <c r="B79" s="14" t="s">
        <v>124</v>
      </c>
      <c r="C79" s="31" t="s">
        <v>88</v>
      </c>
      <c r="D79" s="15" t="s">
        <v>81</v>
      </c>
      <c r="E79" s="43">
        <v>216128</v>
      </c>
      <c r="F79" s="227"/>
      <c r="G79" s="228">
        <f t="shared" si="0"/>
        <v>216128</v>
      </c>
    </row>
    <row r="80" spans="1:10" ht="24.75" thickBot="1" x14ac:dyDescent="0.3">
      <c r="A80" s="297"/>
      <c r="B80" s="28" t="s">
        <v>82</v>
      </c>
      <c r="C80" s="29"/>
      <c r="D80" s="30"/>
      <c r="E80" s="52">
        <f>SUBTOTAL(9,E79:E79)</f>
        <v>216128</v>
      </c>
      <c r="F80" s="229"/>
      <c r="G80" s="216">
        <f t="shared" ref="G80:G143" si="2">E80+F80</f>
        <v>216128</v>
      </c>
    </row>
    <row r="81" spans="1:12" ht="36" x14ac:dyDescent="0.25">
      <c r="A81" s="295" t="s">
        <v>46</v>
      </c>
      <c r="B81" s="14" t="s">
        <v>125</v>
      </c>
      <c r="C81" s="31" t="s">
        <v>88</v>
      </c>
      <c r="D81" s="15" t="s">
        <v>81</v>
      </c>
      <c r="E81" s="43">
        <v>139090</v>
      </c>
      <c r="F81" s="227"/>
      <c r="G81" s="228">
        <f t="shared" si="2"/>
        <v>139090</v>
      </c>
    </row>
    <row r="82" spans="1:12" ht="24.75" thickBot="1" x14ac:dyDescent="0.3">
      <c r="A82" s="297"/>
      <c r="B82" s="28" t="s">
        <v>82</v>
      </c>
      <c r="C82" s="29"/>
      <c r="D82" s="30"/>
      <c r="E82" s="52">
        <f>SUBTOTAL(9,E81:E81)</f>
        <v>139090</v>
      </c>
      <c r="F82" s="229"/>
      <c r="G82" s="216">
        <f t="shared" si="2"/>
        <v>139090</v>
      </c>
    </row>
    <row r="83" spans="1:12" ht="36" x14ac:dyDescent="0.25">
      <c r="A83" s="295" t="s">
        <v>48</v>
      </c>
      <c r="B83" s="14" t="s">
        <v>126</v>
      </c>
      <c r="C83" s="31" t="s">
        <v>88</v>
      </c>
      <c r="D83" s="15" t="s">
        <v>81</v>
      </c>
      <c r="E83" s="43">
        <v>263806</v>
      </c>
      <c r="F83" s="202">
        <v>10700</v>
      </c>
      <c r="G83" s="228">
        <f t="shared" si="2"/>
        <v>274506</v>
      </c>
    </row>
    <row r="84" spans="1:12" ht="24.75" thickBot="1" x14ac:dyDescent="0.3">
      <c r="A84" s="297"/>
      <c r="B84" s="28" t="s">
        <v>82</v>
      </c>
      <c r="C84" s="29"/>
      <c r="D84" s="30"/>
      <c r="E84" s="77">
        <f>SUBTOTAL(9,E83:E83)</f>
        <v>263806</v>
      </c>
      <c r="F84" s="52">
        <f>SUBTOTAL(9,F83:F83)</f>
        <v>10700</v>
      </c>
      <c r="G84" s="216">
        <f t="shared" si="2"/>
        <v>274506</v>
      </c>
    </row>
    <row r="85" spans="1:12" ht="36" x14ac:dyDescent="0.25">
      <c r="A85" s="295" t="s">
        <v>54</v>
      </c>
      <c r="B85" s="14" t="s">
        <v>127</v>
      </c>
      <c r="C85" s="31" t="s">
        <v>88</v>
      </c>
      <c r="D85" s="15" t="s">
        <v>81</v>
      </c>
      <c r="E85" s="43">
        <v>144134</v>
      </c>
      <c r="F85" s="227"/>
      <c r="G85" s="228">
        <f t="shared" si="2"/>
        <v>144134</v>
      </c>
    </row>
    <row r="86" spans="1:12" ht="24.75" thickBot="1" x14ac:dyDescent="0.3">
      <c r="A86" s="297"/>
      <c r="B86" s="28" t="s">
        <v>82</v>
      </c>
      <c r="C86" s="29"/>
      <c r="D86" s="30"/>
      <c r="E86" s="52">
        <f>SUBTOTAL(9,E85:E85)</f>
        <v>144134</v>
      </c>
      <c r="F86" s="229"/>
      <c r="G86" s="216">
        <f t="shared" si="2"/>
        <v>144134</v>
      </c>
    </row>
    <row r="87" spans="1:12" ht="36" x14ac:dyDescent="0.25">
      <c r="A87" s="295" t="s">
        <v>56</v>
      </c>
      <c r="B87" s="14" t="s">
        <v>128</v>
      </c>
      <c r="C87" s="31" t="s">
        <v>88</v>
      </c>
      <c r="D87" s="15" t="s">
        <v>81</v>
      </c>
      <c r="E87" s="43">
        <v>197672</v>
      </c>
      <c r="F87" s="227"/>
      <c r="G87" s="228">
        <f t="shared" si="2"/>
        <v>197672</v>
      </c>
    </row>
    <row r="88" spans="1:12" ht="24.75" thickBot="1" x14ac:dyDescent="0.3">
      <c r="A88" s="297"/>
      <c r="B88" s="28" t="s">
        <v>82</v>
      </c>
      <c r="C88" s="29"/>
      <c r="D88" s="30"/>
      <c r="E88" s="52">
        <f>SUBTOTAL(9,E87:E87)</f>
        <v>197672</v>
      </c>
      <c r="F88" s="229"/>
      <c r="G88" s="216">
        <f t="shared" si="2"/>
        <v>197672</v>
      </c>
    </row>
    <row r="89" spans="1:12" x14ac:dyDescent="0.25">
      <c r="A89" s="295" t="s">
        <v>58</v>
      </c>
      <c r="B89" s="298" t="s">
        <v>129</v>
      </c>
      <c r="C89" s="298" t="s">
        <v>104</v>
      </c>
      <c r="D89" s="15" t="s">
        <v>81</v>
      </c>
      <c r="E89" s="43">
        <v>14890</v>
      </c>
      <c r="F89" s="202"/>
      <c r="G89" s="228">
        <f t="shared" si="2"/>
        <v>14890</v>
      </c>
    </row>
    <row r="90" spans="1:12" ht="18.75" customHeight="1" x14ac:dyDescent="0.25">
      <c r="A90" s="296"/>
      <c r="B90" s="300"/>
      <c r="C90" s="300"/>
      <c r="D90" s="32" t="s">
        <v>85</v>
      </c>
      <c r="E90" s="53">
        <v>481250</v>
      </c>
      <c r="F90" s="157">
        <v>-20000</v>
      </c>
      <c r="G90" s="228">
        <f t="shared" si="2"/>
        <v>461250</v>
      </c>
    </row>
    <row r="91" spans="1:12" ht="24.75" thickBot="1" x14ac:dyDescent="0.3">
      <c r="A91" s="297"/>
      <c r="B91" s="28" t="s">
        <v>82</v>
      </c>
      <c r="C91" s="29"/>
      <c r="D91" s="30"/>
      <c r="E91" s="77">
        <f>SUBTOTAL(9,E89:E90)</f>
        <v>496140</v>
      </c>
      <c r="F91" s="52">
        <f>SUBTOTAL(9,F89:F90)</f>
        <v>-20000</v>
      </c>
      <c r="G91" s="216">
        <f t="shared" si="2"/>
        <v>476140</v>
      </c>
    </row>
    <row r="92" spans="1:12" x14ac:dyDescent="0.25">
      <c r="A92" s="295" t="s">
        <v>60</v>
      </c>
      <c r="B92" s="298" t="s">
        <v>130</v>
      </c>
      <c r="C92" s="298" t="s">
        <v>106</v>
      </c>
      <c r="D92" s="15" t="s">
        <v>81</v>
      </c>
      <c r="E92" s="43">
        <f>1715056</f>
        <v>1715056</v>
      </c>
      <c r="F92" s="227"/>
      <c r="G92" s="228">
        <f t="shared" si="2"/>
        <v>1715056</v>
      </c>
    </row>
    <row r="93" spans="1:12" ht="21" customHeight="1" x14ac:dyDescent="0.25">
      <c r="A93" s="296"/>
      <c r="B93" s="300"/>
      <c r="C93" s="300"/>
      <c r="D93" s="33" t="s">
        <v>84</v>
      </c>
      <c r="E93" s="54">
        <v>99400</v>
      </c>
      <c r="F93" s="157"/>
      <c r="G93" s="228">
        <f t="shared" si="2"/>
        <v>99400</v>
      </c>
    </row>
    <row r="94" spans="1:12" ht="24.75" thickBot="1" x14ac:dyDescent="0.3">
      <c r="A94" s="297"/>
      <c r="B94" s="28" t="s">
        <v>82</v>
      </c>
      <c r="C94" s="29"/>
      <c r="D94" s="30"/>
      <c r="E94" s="77">
        <f>SUBTOTAL(9,E92:E93)</f>
        <v>1814456</v>
      </c>
      <c r="F94" s="52">
        <f>SUBTOTAL(9,F92:F93)</f>
        <v>0</v>
      </c>
      <c r="G94" s="216">
        <f t="shared" si="2"/>
        <v>1814456</v>
      </c>
    </row>
    <row r="95" spans="1:12" x14ac:dyDescent="0.25">
      <c r="A95" s="295" t="s">
        <v>62</v>
      </c>
      <c r="B95" s="298" t="s">
        <v>131</v>
      </c>
      <c r="C95" s="298" t="s">
        <v>106</v>
      </c>
      <c r="D95" s="15" t="s">
        <v>81</v>
      </c>
      <c r="E95" s="43">
        <f>372749</f>
        <v>372749</v>
      </c>
      <c r="F95" s="202">
        <v>16320</v>
      </c>
      <c r="G95" s="228">
        <f t="shared" si="2"/>
        <v>389069</v>
      </c>
    </row>
    <row r="96" spans="1:12" x14ac:dyDescent="0.25">
      <c r="A96" s="296"/>
      <c r="B96" s="300"/>
      <c r="C96" s="300"/>
      <c r="D96" s="33" t="s">
        <v>84</v>
      </c>
      <c r="E96" s="54">
        <v>18710</v>
      </c>
      <c r="F96" s="157"/>
      <c r="G96" s="228">
        <f t="shared" si="2"/>
        <v>18710</v>
      </c>
      <c r="I96" s="79"/>
      <c r="L96" s="79"/>
    </row>
    <row r="97" spans="1:12" ht="24.75" thickBot="1" x14ac:dyDescent="0.3">
      <c r="A97" s="297"/>
      <c r="B97" s="28" t="s">
        <v>82</v>
      </c>
      <c r="C97" s="29"/>
      <c r="D97" s="30"/>
      <c r="E97" s="77">
        <f>SUBTOTAL(9,E95:E96)</f>
        <v>391459</v>
      </c>
      <c r="F97" s="52">
        <f>SUBTOTAL(9,F95:F96)</f>
        <v>16320</v>
      </c>
      <c r="G97" s="216">
        <f t="shared" si="2"/>
        <v>407779</v>
      </c>
    </row>
    <row r="98" spans="1:12" x14ac:dyDescent="0.25">
      <c r="A98" s="295" t="s">
        <v>64</v>
      </c>
      <c r="B98" s="298" t="s">
        <v>132</v>
      </c>
      <c r="C98" s="298" t="s">
        <v>106</v>
      </c>
      <c r="D98" s="15" t="s">
        <v>81</v>
      </c>
      <c r="E98" s="43">
        <f>1374426</f>
        <v>1374426</v>
      </c>
      <c r="F98" s="202">
        <v>36000</v>
      </c>
      <c r="G98" s="228">
        <f t="shared" si="2"/>
        <v>1410426</v>
      </c>
    </row>
    <row r="99" spans="1:12" x14ac:dyDescent="0.25">
      <c r="A99" s="296"/>
      <c r="B99" s="299"/>
      <c r="C99" s="299"/>
      <c r="D99" s="33" t="s">
        <v>84</v>
      </c>
      <c r="E99" s="54">
        <f>19000</f>
        <v>19000</v>
      </c>
      <c r="F99" s="197"/>
      <c r="G99" s="228">
        <f t="shared" si="2"/>
        <v>19000</v>
      </c>
    </row>
    <row r="100" spans="1:12" x14ac:dyDescent="0.25">
      <c r="A100" s="296"/>
      <c r="B100" s="300"/>
      <c r="C100" s="300"/>
      <c r="D100" s="32" t="s">
        <v>110</v>
      </c>
      <c r="E100" s="53">
        <v>48316</v>
      </c>
      <c r="F100" s="197"/>
      <c r="G100" s="228">
        <f t="shared" si="2"/>
        <v>48316</v>
      </c>
    </row>
    <row r="101" spans="1:12" ht="24.75" thickBot="1" x14ac:dyDescent="0.3">
      <c r="A101" s="297"/>
      <c r="B101" s="28" t="s">
        <v>82</v>
      </c>
      <c r="C101" s="29"/>
      <c r="D101" s="30"/>
      <c r="E101" s="52">
        <f>SUBTOTAL(9,E98:E100)</f>
        <v>1441742</v>
      </c>
      <c r="F101" s="164">
        <f>SUM(F98:F100)</f>
        <v>36000</v>
      </c>
      <c r="G101" s="216">
        <f t="shared" si="2"/>
        <v>1477742</v>
      </c>
      <c r="J101" s="79"/>
    </row>
    <row r="102" spans="1:12" ht="15" customHeight="1" x14ac:dyDescent="0.25">
      <c r="A102" s="295" t="s">
        <v>66</v>
      </c>
      <c r="B102" s="298" t="s">
        <v>133</v>
      </c>
      <c r="C102" s="298" t="s">
        <v>106</v>
      </c>
      <c r="D102" s="15" t="s">
        <v>81</v>
      </c>
      <c r="E102" s="43">
        <v>799004</v>
      </c>
      <c r="F102" s="202">
        <v>89905</v>
      </c>
      <c r="G102" s="228">
        <f t="shared" si="2"/>
        <v>888909</v>
      </c>
      <c r="H102" s="210"/>
      <c r="K102" s="210"/>
      <c r="L102" s="210"/>
    </row>
    <row r="103" spans="1:12" x14ac:dyDescent="0.25">
      <c r="A103" s="296"/>
      <c r="B103" s="299"/>
      <c r="C103" s="299"/>
      <c r="D103" s="32" t="s">
        <v>84</v>
      </c>
      <c r="E103" s="53">
        <v>404720</v>
      </c>
      <c r="F103" s="157">
        <v>80000</v>
      </c>
      <c r="G103" s="228">
        <f t="shared" si="2"/>
        <v>484720</v>
      </c>
    </row>
    <row r="104" spans="1:12" x14ac:dyDescent="0.25">
      <c r="A104" s="296"/>
      <c r="B104" s="300"/>
      <c r="C104" s="300"/>
      <c r="D104" s="34" t="s">
        <v>86</v>
      </c>
      <c r="E104" s="55">
        <v>12800</v>
      </c>
      <c r="F104" s="157"/>
      <c r="G104" s="228">
        <f t="shared" si="2"/>
        <v>12800</v>
      </c>
    </row>
    <row r="105" spans="1:12" ht="24.75" thickBot="1" x14ac:dyDescent="0.3">
      <c r="A105" s="297"/>
      <c r="B105" s="28" t="s">
        <v>82</v>
      </c>
      <c r="C105" s="29"/>
      <c r="D105" s="30"/>
      <c r="E105" s="77">
        <f>SUBTOTAL(9,E102:E104)</f>
        <v>1216524</v>
      </c>
      <c r="F105" s="165">
        <f>SUBTOTAL(9,F102:F104)</f>
        <v>169905</v>
      </c>
      <c r="G105" s="216">
        <f t="shared" si="2"/>
        <v>1386429</v>
      </c>
    </row>
    <row r="106" spans="1:12" ht="21.75" customHeight="1" x14ac:dyDescent="0.25">
      <c r="A106" s="295" t="s">
        <v>68</v>
      </c>
      <c r="B106" s="298" t="s">
        <v>134</v>
      </c>
      <c r="C106" s="298" t="s">
        <v>106</v>
      </c>
      <c r="D106" s="15" t="s">
        <v>81</v>
      </c>
      <c r="E106" s="43">
        <v>49614</v>
      </c>
      <c r="F106" s="202"/>
      <c r="G106" s="228">
        <f t="shared" si="2"/>
        <v>49614</v>
      </c>
    </row>
    <row r="107" spans="1:12" ht="23.25" customHeight="1" x14ac:dyDescent="0.25">
      <c r="A107" s="296"/>
      <c r="B107" s="300"/>
      <c r="C107" s="300"/>
      <c r="D107" s="32" t="s">
        <v>84</v>
      </c>
      <c r="E107" s="53">
        <v>3780</v>
      </c>
      <c r="F107" s="157"/>
      <c r="G107" s="228">
        <f t="shared" si="2"/>
        <v>3780</v>
      </c>
    </row>
    <row r="108" spans="1:12" ht="24.75" thickBot="1" x14ac:dyDescent="0.3">
      <c r="A108" s="297"/>
      <c r="B108" s="28" t="s">
        <v>82</v>
      </c>
      <c r="C108" s="29"/>
      <c r="D108" s="30"/>
      <c r="E108" s="77">
        <f>SUBTOTAL(9,E106:E107)</f>
        <v>53394</v>
      </c>
      <c r="F108" s="52">
        <f>SUBTOTAL(9,F106:F107)</f>
        <v>0</v>
      </c>
      <c r="G108" s="216">
        <f t="shared" si="2"/>
        <v>53394</v>
      </c>
    </row>
    <row r="109" spans="1:12" ht="15" customHeight="1" x14ac:dyDescent="0.25">
      <c r="A109" s="295" t="s">
        <v>70</v>
      </c>
      <c r="B109" s="298" t="s">
        <v>135</v>
      </c>
      <c r="C109" s="298" t="s">
        <v>108</v>
      </c>
      <c r="D109" s="15" t="s">
        <v>81</v>
      </c>
      <c r="E109" s="43">
        <f>441412</f>
        <v>441412</v>
      </c>
      <c r="F109" s="227">
        <v>30620</v>
      </c>
      <c r="G109" s="228">
        <f t="shared" si="2"/>
        <v>472032</v>
      </c>
    </row>
    <row r="110" spans="1:12" x14ac:dyDescent="0.25">
      <c r="A110" s="296"/>
      <c r="B110" s="299"/>
      <c r="C110" s="299"/>
      <c r="D110" s="33" t="s">
        <v>84</v>
      </c>
      <c r="E110" s="54">
        <f>14000</f>
        <v>14000</v>
      </c>
      <c r="F110" s="197"/>
      <c r="G110" s="228">
        <f t="shared" si="2"/>
        <v>14000</v>
      </c>
    </row>
    <row r="111" spans="1:12" x14ac:dyDescent="0.25">
      <c r="A111" s="296"/>
      <c r="B111" s="299"/>
      <c r="C111" s="299"/>
      <c r="D111" s="32" t="s">
        <v>109</v>
      </c>
      <c r="E111" s="53">
        <v>1836514</v>
      </c>
      <c r="F111" s="157"/>
      <c r="G111" s="228">
        <f t="shared" si="2"/>
        <v>1836514</v>
      </c>
    </row>
    <row r="112" spans="1:12" x14ac:dyDescent="0.25">
      <c r="A112" s="296"/>
      <c r="B112" s="300"/>
      <c r="C112" s="300"/>
      <c r="D112" s="34" t="s">
        <v>110</v>
      </c>
      <c r="E112" s="55">
        <v>19676</v>
      </c>
      <c r="F112" s="233"/>
      <c r="G112" s="228">
        <f t="shared" si="2"/>
        <v>19676</v>
      </c>
    </row>
    <row r="113" spans="1:11" ht="24.75" thickBot="1" x14ac:dyDescent="0.3">
      <c r="A113" s="297"/>
      <c r="B113" s="28" t="s">
        <v>82</v>
      </c>
      <c r="C113" s="29"/>
      <c r="D113" s="30"/>
      <c r="E113" s="77">
        <f>E109+E110+E111+E112</f>
        <v>2311602</v>
      </c>
      <c r="F113" s="52">
        <f>F109+F110+F111+F112</f>
        <v>30620</v>
      </c>
      <c r="G113" s="216">
        <f t="shared" si="2"/>
        <v>2342222</v>
      </c>
    </row>
    <row r="114" spans="1:11" x14ac:dyDescent="0.25">
      <c r="A114" s="295" t="s">
        <v>72</v>
      </c>
      <c r="B114" s="298" t="s">
        <v>136</v>
      </c>
      <c r="C114" s="298" t="s">
        <v>108</v>
      </c>
      <c r="D114" s="15" t="s">
        <v>81</v>
      </c>
      <c r="E114" s="43">
        <f>530403</f>
        <v>530403</v>
      </c>
      <c r="F114" s="202">
        <v>28000</v>
      </c>
      <c r="G114" s="228">
        <f t="shared" si="2"/>
        <v>558403</v>
      </c>
    </row>
    <row r="115" spans="1:11" x14ac:dyDescent="0.25">
      <c r="A115" s="296"/>
      <c r="B115" s="299"/>
      <c r="C115" s="299"/>
      <c r="D115" s="33" t="s">
        <v>84</v>
      </c>
      <c r="E115" s="54">
        <f>5700</f>
        <v>5700</v>
      </c>
      <c r="F115" s="197"/>
      <c r="G115" s="228">
        <f t="shared" si="2"/>
        <v>5700</v>
      </c>
    </row>
    <row r="116" spans="1:11" x14ac:dyDescent="0.25">
      <c r="A116" s="296"/>
      <c r="B116" s="299"/>
      <c r="C116" s="299"/>
      <c r="D116" s="32" t="s">
        <v>109</v>
      </c>
      <c r="E116" s="53">
        <v>2743019</v>
      </c>
      <c r="F116" s="157"/>
      <c r="G116" s="228">
        <f t="shared" si="2"/>
        <v>2743019</v>
      </c>
    </row>
    <row r="117" spans="1:11" ht="24.75" thickBot="1" x14ac:dyDescent="0.3">
      <c r="A117" s="297"/>
      <c r="B117" s="28" t="s">
        <v>82</v>
      </c>
      <c r="C117" s="29"/>
      <c r="D117" s="30"/>
      <c r="E117" s="77">
        <f>SUBTOTAL(9,E114:E116)</f>
        <v>3279122</v>
      </c>
      <c r="F117" s="52">
        <f>SUBTOTAL(9,F114:F116)</f>
        <v>28000</v>
      </c>
      <c r="G117" s="216">
        <f t="shared" si="2"/>
        <v>3307122</v>
      </c>
    </row>
    <row r="118" spans="1:11" x14ac:dyDescent="0.25">
      <c r="A118" s="295" t="s">
        <v>74</v>
      </c>
      <c r="B118" s="298" t="s">
        <v>137</v>
      </c>
      <c r="C118" s="298" t="s">
        <v>108</v>
      </c>
      <c r="D118" s="15" t="s">
        <v>81</v>
      </c>
      <c r="E118" s="43">
        <v>747863</v>
      </c>
      <c r="F118" s="202">
        <v>91355</v>
      </c>
      <c r="G118" s="228">
        <f t="shared" si="2"/>
        <v>839218</v>
      </c>
      <c r="J118" s="78"/>
      <c r="K118" s="78"/>
    </row>
    <row r="119" spans="1:11" x14ac:dyDescent="0.25">
      <c r="A119" s="296"/>
      <c r="B119" s="299"/>
      <c r="C119" s="299"/>
      <c r="D119" s="33" t="s">
        <v>84</v>
      </c>
      <c r="E119" s="54">
        <f>3190+50500+35500</f>
        <v>89190</v>
      </c>
      <c r="F119" s="197"/>
      <c r="G119" s="228">
        <f t="shared" si="2"/>
        <v>89190</v>
      </c>
      <c r="I119" s="79"/>
    </row>
    <row r="120" spans="1:11" x14ac:dyDescent="0.25">
      <c r="A120" s="296"/>
      <c r="B120" s="299"/>
      <c r="C120" s="299"/>
      <c r="D120" s="32" t="s">
        <v>109</v>
      </c>
      <c r="E120" s="53">
        <v>1689785</v>
      </c>
      <c r="F120" s="157"/>
      <c r="G120" s="228">
        <f t="shared" si="2"/>
        <v>1689785</v>
      </c>
    </row>
    <row r="121" spans="1:11" x14ac:dyDescent="0.25">
      <c r="A121" s="296"/>
      <c r="B121" s="300"/>
      <c r="C121" s="300"/>
      <c r="D121" s="34" t="s">
        <v>110</v>
      </c>
      <c r="E121" s="55">
        <v>29966</v>
      </c>
      <c r="F121" s="157"/>
      <c r="G121" s="228">
        <f t="shared" si="2"/>
        <v>29966</v>
      </c>
    </row>
    <row r="122" spans="1:11" ht="24.75" thickBot="1" x14ac:dyDescent="0.3">
      <c r="A122" s="297"/>
      <c r="B122" s="28" t="s">
        <v>82</v>
      </c>
      <c r="C122" s="29"/>
      <c r="D122" s="30"/>
      <c r="E122" s="77">
        <f>E118+E119+E120+E121</f>
        <v>2556804</v>
      </c>
      <c r="F122" s="52">
        <f>F118+F119+F120+F121</f>
        <v>91355</v>
      </c>
      <c r="G122" s="216">
        <f t="shared" si="2"/>
        <v>2648159</v>
      </c>
      <c r="J122" s="79"/>
    </row>
    <row r="123" spans="1:11" x14ac:dyDescent="0.25">
      <c r="A123" s="295" t="s">
        <v>138</v>
      </c>
      <c r="B123" s="298" t="s">
        <v>139</v>
      </c>
      <c r="C123" s="298" t="s">
        <v>108</v>
      </c>
      <c r="D123" s="15" t="s">
        <v>81</v>
      </c>
      <c r="E123" s="43">
        <f>477676+308802</f>
        <v>786478</v>
      </c>
      <c r="F123" s="202">
        <v>175369</v>
      </c>
      <c r="G123" s="228">
        <f t="shared" si="2"/>
        <v>961847</v>
      </c>
    </row>
    <row r="124" spans="1:11" x14ac:dyDescent="0.25">
      <c r="A124" s="296"/>
      <c r="B124" s="299"/>
      <c r="C124" s="299"/>
      <c r="D124" s="33" t="s">
        <v>84</v>
      </c>
      <c r="E124" s="54">
        <f>960+3000+51000</f>
        <v>54960</v>
      </c>
      <c r="F124" s="197"/>
      <c r="G124" s="228">
        <f t="shared" si="2"/>
        <v>54960</v>
      </c>
      <c r="I124" s="79"/>
    </row>
    <row r="125" spans="1:11" x14ac:dyDescent="0.25">
      <c r="A125" s="296"/>
      <c r="B125" s="299"/>
      <c r="C125" s="299"/>
      <c r="D125" s="32" t="s">
        <v>109</v>
      </c>
      <c r="E125" s="53">
        <v>1622921</v>
      </c>
      <c r="F125" s="157"/>
      <c r="G125" s="228">
        <f t="shared" si="2"/>
        <v>1622921</v>
      </c>
    </row>
    <row r="126" spans="1:11" x14ac:dyDescent="0.25">
      <c r="A126" s="296"/>
      <c r="B126" s="300"/>
      <c r="C126" s="300"/>
      <c r="D126" s="34" t="s">
        <v>110</v>
      </c>
      <c r="E126" s="55">
        <v>9085</v>
      </c>
      <c r="F126" s="197"/>
      <c r="G126" s="228">
        <f t="shared" si="2"/>
        <v>9085</v>
      </c>
      <c r="J126" s="221"/>
    </row>
    <row r="127" spans="1:11" ht="24.75" thickBot="1" x14ac:dyDescent="0.3">
      <c r="A127" s="297"/>
      <c r="B127" s="28" t="s">
        <v>82</v>
      </c>
      <c r="C127" s="29"/>
      <c r="D127" s="30"/>
      <c r="E127" s="77">
        <f>SUBTOTAL(9,E123:E126)</f>
        <v>2473444</v>
      </c>
      <c r="F127" s="52">
        <f>SUBTOTAL(9,F123:F126)</f>
        <v>175369</v>
      </c>
      <c r="G127" s="216">
        <f t="shared" si="2"/>
        <v>2648813</v>
      </c>
      <c r="J127" s="222"/>
    </row>
    <row r="128" spans="1:11" x14ac:dyDescent="0.25">
      <c r="A128" s="295" t="s">
        <v>140</v>
      </c>
      <c r="B128" s="298" t="s">
        <v>141</v>
      </c>
      <c r="C128" s="298" t="s">
        <v>108</v>
      </c>
      <c r="D128" s="15" t="s">
        <v>81</v>
      </c>
      <c r="E128" s="43">
        <f>615775+156962</f>
        <v>772737</v>
      </c>
      <c r="F128" s="202">
        <v>205000</v>
      </c>
      <c r="G128" s="228">
        <f t="shared" si="2"/>
        <v>977737</v>
      </c>
    </row>
    <row r="129" spans="1:9" x14ac:dyDescent="0.25">
      <c r="A129" s="296"/>
      <c r="B129" s="299"/>
      <c r="C129" s="299"/>
      <c r="D129" s="33" t="s">
        <v>84</v>
      </c>
      <c r="E129" s="54">
        <f>8390+45000+7700</f>
        <v>61090</v>
      </c>
      <c r="F129" s="157">
        <v>15600</v>
      </c>
      <c r="G129" s="228">
        <f t="shared" si="2"/>
        <v>76690</v>
      </c>
      <c r="I129" s="79"/>
    </row>
    <row r="130" spans="1:9" x14ac:dyDescent="0.25">
      <c r="A130" s="296"/>
      <c r="B130" s="299"/>
      <c r="C130" s="299"/>
      <c r="D130" s="32" t="s">
        <v>109</v>
      </c>
      <c r="E130" s="53">
        <v>1851428</v>
      </c>
      <c r="F130" s="157"/>
      <c r="G130" s="228">
        <f t="shared" si="2"/>
        <v>1851428</v>
      </c>
    </row>
    <row r="131" spans="1:9" x14ac:dyDescent="0.25">
      <c r="A131" s="296"/>
      <c r="B131" s="300"/>
      <c r="C131" s="300"/>
      <c r="D131" s="34" t="s">
        <v>110</v>
      </c>
      <c r="E131" s="55">
        <v>5404</v>
      </c>
      <c r="F131" s="197"/>
      <c r="G131" s="228">
        <f t="shared" si="2"/>
        <v>5404</v>
      </c>
    </row>
    <row r="132" spans="1:9" ht="24.75" thickBot="1" x14ac:dyDescent="0.3">
      <c r="A132" s="297"/>
      <c r="B132" s="28" t="s">
        <v>82</v>
      </c>
      <c r="C132" s="29"/>
      <c r="D132" s="30"/>
      <c r="E132" s="77">
        <f>SUBTOTAL(9,E128:E131)</f>
        <v>2690659</v>
      </c>
      <c r="F132" s="52">
        <f>SUBTOTAL(9,F128:F131)</f>
        <v>220600</v>
      </c>
      <c r="G132" s="216">
        <f t="shared" si="2"/>
        <v>2911259</v>
      </c>
    </row>
    <row r="133" spans="1:9" x14ac:dyDescent="0.25">
      <c r="A133" s="295" t="s">
        <v>142</v>
      </c>
      <c r="B133" s="298" t="s">
        <v>143</v>
      </c>
      <c r="C133" s="298" t="s">
        <v>108</v>
      </c>
      <c r="D133" s="15" t="s">
        <v>81</v>
      </c>
      <c r="E133" s="43">
        <v>500097</v>
      </c>
      <c r="F133" s="202">
        <v>21920</v>
      </c>
      <c r="G133" s="228">
        <f t="shared" si="2"/>
        <v>522017</v>
      </c>
    </row>
    <row r="134" spans="1:9" x14ac:dyDescent="0.25">
      <c r="A134" s="296"/>
      <c r="B134" s="299"/>
      <c r="C134" s="299"/>
      <c r="D134" s="32" t="s">
        <v>84</v>
      </c>
      <c r="E134" s="53">
        <f>270+2000+25000</f>
        <v>27270</v>
      </c>
      <c r="F134" s="197"/>
      <c r="G134" s="228">
        <f t="shared" si="2"/>
        <v>27270</v>
      </c>
    </row>
    <row r="135" spans="1:9" x14ac:dyDescent="0.25">
      <c r="A135" s="296"/>
      <c r="B135" s="299"/>
      <c r="C135" s="299"/>
      <c r="D135" s="33" t="s">
        <v>109</v>
      </c>
      <c r="E135" s="54">
        <v>1306075</v>
      </c>
      <c r="F135" s="157"/>
      <c r="G135" s="228">
        <f t="shared" si="2"/>
        <v>1306075</v>
      </c>
    </row>
    <row r="136" spans="1:9" x14ac:dyDescent="0.25">
      <c r="A136" s="296"/>
      <c r="B136" s="300"/>
      <c r="C136" s="300"/>
      <c r="D136" s="35" t="s">
        <v>110</v>
      </c>
      <c r="E136" s="56">
        <v>2850</v>
      </c>
      <c r="F136" s="197"/>
      <c r="G136" s="228">
        <f t="shared" si="2"/>
        <v>2850</v>
      </c>
    </row>
    <row r="137" spans="1:9" ht="24.75" thickBot="1" x14ac:dyDescent="0.3">
      <c r="A137" s="297"/>
      <c r="B137" s="28" t="s">
        <v>82</v>
      </c>
      <c r="C137" s="29"/>
      <c r="D137" s="30"/>
      <c r="E137" s="77">
        <f>SUBTOTAL(9,E133:E136)</f>
        <v>1836292</v>
      </c>
      <c r="F137" s="52">
        <f>SUBTOTAL(9,F133:F136)</f>
        <v>21920</v>
      </c>
      <c r="G137" s="216">
        <f t="shared" si="2"/>
        <v>1858212</v>
      </c>
    </row>
    <row r="138" spans="1:9" x14ac:dyDescent="0.25">
      <c r="A138" s="295" t="s">
        <v>144</v>
      </c>
      <c r="B138" s="298" t="s">
        <v>145</v>
      </c>
      <c r="C138" s="298" t="s">
        <v>108</v>
      </c>
      <c r="D138" s="15" t="s">
        <v>81</v>
      </c>
      <c r="E138" s="43">
        <f>414049</f>
        <v>414049</v>
      </c>
      <c r="F138" s="202">
        <v>148723</v>
      </c>
      <c r="G138" s="228">
        <f t="shared" si="2"/>
        <v>562772</v>
      </c>
    </row>
    <row r="139" spans="1:9" x14ac:dyDescent="0.25">
      <c r="A139" s="296"/>
      <c r="B139" s="299"/>
      <c r="C139" s="299"/>
      <c r="D139" s="33" t="s">
        <v>84</v>
      </c>
      <c r="E139" s="54">
        <f>1520+25000</f>
        <v>26520</v>
      </c>
      <c r="F139" s="197"/>
      <c r="G139" s="228">
        <f t="shared" si="2"/>
        <v>26520</v>
      </c>
      <c r="I139" s="79"/>
    </row>
    <row r="140" spans="1:9" x14ac:dyDescent="0.25">
      <c r="A140" s="296"/>
      <c r="B140" s="299"/>
      <c r="C140" s="299"/>
      <c r="D140" s="32" t="s">
        <v>109</v>
      </c>
      <c r="E140" s="53">
        <v>754093</v>
      </c>
      <c r="F140" s="157"/>
      <c r="G140" s="228">
        <f t="shared" si="2"/>
        <v>754093</v>
      </c>
    </row>
    <row r="141" spans="1:9" x14ac:dyDescent="0.25">
      <c r="A141" s="296"/>
      <c r="B141" s="300"/>
      <c r="C141" s="300"/>
      <c r="D141" s="34" t="s">
        <v>110</v>
      </c>
      <c r="E141" s="55">
        <v>2227</v>
      </c>
      <c r="F141" s="197"/>
      <c r="G141" s="228">
        <f t="shared" si="2"/>
        <v>2227</v>
      </c>
    </row>
    <row r="142" spans="1:9" ht="24.75" thickBot="1" x14ac:dyDescent="0.3">
      <c r="A142" s="297"/>
      <c r="B142" s="28" t="s">
        <v>82</v>
      </c>
      <c r="C142" s="29"/>
      <c r="D142" s="30"/>
      <c r="E142" s="77">
        <f>SUBTOTAL(9,E138:E141)</f>
        <v>1196889</v>
      </c>
      <c r="F142" s="52">
        <f>SUBTOTAL(9,F138:F141)</f>
        <v>148723</v>
      </c>
      <c r="G142" s="216">
        <f t="shared" si="2"/>
        <v>1345612</v>
      </c>
    </row>
    <row r="143" spans="1:9" x14ac:dyDescent="0.25">
      <c r="A143" s="295" t="s">
        <v>146</v>
      </c>
      <c r="B143" s="298" t="s">
        <v>147</v>
      </c>
      <c r="C143" s="298" t="s">
        <v>108</v>
      </c>
      <c r="D143" s="15" t="s">
        <v>81</v>
      </c>
      <c r="E143" s="43">
        <f>413050</f>
        <v>413050</v>
      </c>
      <c r="F143" s="202">
        <v>31727</v>
      </c>
      <c r="G143" s="228">
        <f t="shared" si="2"/>
        <v>444777</v>
      </c>
    </row>
    <row r="144" spans="1:9" x14ac:dyDescent="0.25">
      <c r="A144" s="296"/>
      <c r="B144" s="299"/>
      <c r="C144" s="299"/>
      <c r="D144" s="33" t="s">
        <v>84</v>
      </c>
      <c r="E144" s="54">
        <f>1460+23400</f>
        <v>24860</v>
      </c>
      <c r="F144" s="197"/>
      <c r="G144" s="228">
        <f t="shared" ref="G144:G207" si="3">E144+F144</f>
        <v>24860</v>
      </c>
      <c r="I144" s="79"/>
    </row>
    <row r="145" spans="1:9" x14ac:dyDescent="0.25">
      <c r="A145" s="296"/>
      <c r="B145" s="299"/>
      <c r="C145" s="299"/>
      <c r="D145" s="32" t="s">
        <v>109</v>
      </c>
      <c r="E145" s="53">
        <v>821852</v>
      </c>
      <c r="F145" s="157">
        <v>46605</v>
      </c>
      <c r="G145" s="228">
        <f t="shared" si="3"/>
        <v>868457</v>
      </c>
    </row>
    <row r="146" spans="1:9" x14ac:dyDescent="0.25">
      <c r="A146" s="296"/>
      <c r="B146" s="300"/>
      <c r="C146" s="300"/>
      <c r="D146" s="34" t="s">
        <v>110</v>
      </c>
      <c r="E146" s="55">
        <v>3652</v>
      </c>
      <c r="F146" s="197"/>
      <c r="G146" s="228">
        <f t="shared" si="3"/>
        <v>3652</v>
      </c>
    </row>
    <row r="147" spans="1:9" ht="24.75" thickBot="1" x14ac:dyDescent="0.3">
      <c r="A147" s="297"/>
      <c r="B147" s="28" t="s">
        <v>82</v>
      </c>
      <c r="C147" s="29"/>
      <c r="D147" s="30"/>
      <c r="E147" s="77">
        <f>SUBTOTAL(9,E143:E146)</f>
        <v>1263414</v>
      </c>
      <c r="F147" s="52">
        <f>SUBTOTAL(9,F143:F146)</f>
        <v>78332</v>
      </c>
      <c r="G147" s="216">
        <f t="shared" si="3"/>
        <v>1341746</v>
      </c>
    </row>
    <row r="148" spans="1:9" x14ac:dyDescent="0.25">
      <c r="A148" s="295" t="s">
        <v>148</v>
      </c>
      <c r="B148" s="298" t="s">
        <v>149</v>
      </c>
      <c r="C148" s="298" t="s">
        <v>108</v>
      </c>
      <c r="D148" s="15" t="s">
        <v>81</v>
      </c>
      <c r="E148" s="43">
        <f>330048</f>
        <v>330048</v>
      </c>
      <c r="F148" s="202">
        <v>59250</v>
      </c>
      <c r="G148" s="228">
        <f t="shared" si="3"/>
        <v>389298</v>
      </c>
    </row>
    <row r="149" spans="1:9" x14ac:dyDescent="0.25">
      <c r="A149" s="296"/>
      <c r="B149" s="299"/>
      <c r="C149" s="299"/>
      <c r="D149" s="33" t="s">
        <v>84</v>
      </c>
      <c r="E149" s="54">
        <f>20800</f>
        <v>20800</v>
      </c>
      <c r="F149" s="197"/>
      <c r="G149" s="228">
        <f t="shared" si="3"/>
        <v>20800</v>
      </c>
      <c r="I149" s="79"/>
    </row>
    <row r="150" spans="1:9" x14ac:dyDescent="0.25">
      <c r="A150" s="296"/>
      <c r="B150" s="299"/>
      <c r="C150" s="299"/>
      <c r="D150" s="32" t="s">
        <v>109</v>
      </c>
      <c r="E150" s="53">
        <v>629956</v>
      </c>
      <c r="F150" s="157">
        <v>50161</v>
      </c>
      <c r="G150" s="228">
        <f t="shared" si="3"/>
        <v>680117</v>
      </c>
    </row>
    <row r="151" spans="1:9" x14ac:dyDescent="0.25">
      <c r="A151" s="296"/>
      <c r="B151" s="300"/>
      <c r="C151" s="300"/>
      <c r="D151" s="34" t="s">
        <v>110</v>
      </c>
      <c r="E151" s="55">
        <v>5314</v>
      </c>
      <c r="F151" s="197"/>
      <c r="G151" s="228">
        <f t="shared" si="3"/>
        <v>5314</v>
      </c>
    </row>
    <row r="152" spans="1:9" ht="24.75" thickBot="1" x14ac:dyDescent="0.3">
      <c r="A152" s="297"/>
      <c r="B152" s="28" t="s">
        <v>82</v>
      </c>
      <c r="C152" s="29"/>
      <c r="D152" s="30"/>
      <c r="E152" s="77">
        <f>SUBTOTAL(9,E148:E151)</f>
        <v>986118</v>
      </c>
      <c r="F152" s="52">
        <f>SUBTOTAL(9,F148:F151)</f>
        <v>109411</v>
      </c>
      <c r="G152" s="216">
        <f t="shared" si="3"/>
        <v>1095529</v>
      </c>
    </row>
    <row r="153" spans="1:9" x14ac:dyDescent="0.25">
      <c r="A153" s="295" t="s">
        <v>150</v>
      </c>
      <c r="B153" s="298" t="s">
        <v>151</v>
      </c>
      <c r="C153" s="298" t="s">
        <v>108</v>
      </c>
      <c r="D153" s="15" t="s">
        <v>81</v>
      </c>
      <c r="E153" s="43">
        <v>238306</v>
      </c>
      <c r="F153" s="202">
        <v>11330</v>
      </c>
      <c r="G153" s="228">
        <f t="shared" si="3"/>
        <v>249636</v>
      </c>
    </row>
    <row r="154" spans="1:9" x14ac:dyDescent="0.25">
      <c r="A154" s="296"/>
      <c r="B154" s="299"/>
      <c r="C154" s="299"/>
      <c r="D154" s="33" t="s">
        <v>84</v>
      </c>
      <c r="E154" s="54">
        <f>6040+25600</f>
        <v>31640</v>
      </c>
      <c r="F154" s="197"/>
      <c r="G154" s="228">
        <f t="shared" si="3"/>
        <v>31640</v>
      </c>
      <c r="I154" s="79"/>
    </row>
    <row r="155" spans="1:9" x14ac:dyDescent="0.25">
      <c r="A155" s="296"/>
      <c r="B155" s="299"/>
      <c r="C155" s="299"/>
      <c r="D155" s="32" t="s">
        <v>109</v>
      </c>
      <c r="E155" s="53">
        <v>407152</v>
      </c>
      <c r="F155" s="157">
        <v>62223</v>
      </c>
      <c r="G155" s="228">
        <f t="shared" si="3"/>
        <v>469375</v>
      </c>
    </row>
    <row r="156" spans="1:9" x14ac:dyDescent="0.25">
      <c r="A156" s="296"/>
      <c r="B156" s="300"/>
      <c r="C156" s="300"/>
      <c r="D156" s="34" t="s">
        <v>110</v>
      </c>
      <c r="E156" s="55">
        <v>1781</v>
      </c>
      <c r="F156" s="197"/>
      <c r="G156" s="228">
        <f t="shared" si="3"/>
        <v>1781</v>
      </c>
    </row>
    <row r="157" spans="1:9" ht="24.75" thickBot="1" x14ac:dyDescent="0.3">
      <c r="A157" s="297"/>
      <c r="B157" s="28" t="s">
        <v>82</v>
      </c>
      <c r="C157" s="29"/>
      <c r="D157" s="30"/>
      <c r="E157" s="77">
        <f>SUBTOTAL(9,E153:E156)</f>
        <v>678879</v>
      </c>
      <c r="F157" s="52">
        <f>SUBTOTAL(9,F153:F156)</f>
        <v>73553</v>
      </c>
      <c r="G157" s="216">
        <f t="shared" si="3"/>
        <v>752432</v>
      </c>
    </row>
    <row r="158" spans="1:9" x14ac:dyDescent="0.25">
      <c r="A158" s="295" t="s">
        <v>152</v>
      </c>
      <c r="B158" s="298" t="s">
        <v>153</v>
      </c>
      <c r="C158" s="298" t="s">
        <v>108</v>
      </c>
      <c r="D158" s="15" t="s">
        <v>81</v>
      </c>
      <c r="E158" s="43">
        <v>740936</v>
      </c>
      <c r="F158" s="202">
        <v>188195</v>
      </c>
      <c r="G158" s="228">
        <f t="shared" si="3"/>
        <v>929131</v>
      </c>
    </row>
    <row r="159" spans="1:9" x14ac:dyDescent="0.25">
      <c r="A159" s="296"/>
      <c r="B159" s="299"/>
      <c r="C159" s="299"/>
      <c r="D159" s="33" t="s">
        <v>84</v>
      </c>
      <c r="E159" s="54">
        <f>11320+90000</f>
        <v>101320</v>
      </c>
      <c r="F159" s="197"/>
      <c r="G159" s="228">
        <f t="shared" si="3"/>
        <v>101320</v>
      </c>
      <c r="I159" s="79"/>
    </row>
    <row r="160" spans="1:9" x14ac:dyDescent="0.25">
      <c r="A160" s="296"/>
      <c r="B160" s="299"/>
      <c r="C160" s="299"/>
      <c r="D160" s="32" t="s">
        <v>109</v>
      </c>
      <c r="E160" s="53">
        <v>1447944</v>
      </c>
      <c r="F160" s="157"/>
      <c r="G160" s="228">
        <f t="shared" si="3"/>
        <v>1447944</v>
      </c>
    </row>
    <row r="161" spans="1:9" x14ac:dyDescent="0.25">
      <c r="A161" s="296"/>
      <c r="B161" s="300"/>
      <c r="C161" s="300"/>
      <c r="D161" s="34" t="s">
        <v>110</v>
      </c>
      <c r="E161" s="55">
        <v>40708</v>
      </c>
      <c r="F161" s="157"/>
      <c r="G161" s="228">
        <f t="shared" si="3"/>
        <v>40708</v>
      </c>
    </row>
    <row r="162" spans="1:9" ht="24.75" thickBot="1" x14ac:dyDescent="0.3">
      <c r="A162" s="297"/>
      <c r="B162" s="28" t="s">
        <v>82</v>
      </c>
      <c r="C162" s="29"/>
      <c r="D162" s="30"/>
      <c r="E162" s="77">
        <f>E158+E159+E160+E161</f>
        <v>2330908</v>
      </c>
      <c r="F162" s="52">
        <f>F158+F159+F160+F161</f>
        <v>188195</v>
      </c>
      <c r="G162" s="216">
        <f t="shared" si="3"/>
        <v>2519103</v>
      </c>
    </row>
    <row r="163" spans="1:9" x14ac:dyDescent="0.25">
      <c r="A163" s="295" t="s">
        <v>154</v>
      </c>
      <c r="B163" s="298" t="s">
        <v>155</v>
      </c>
      <c r="C163" s="298" t="s">
        <v>108</v>
      </c>
      <c r="D163" s="15" t="s">
        <v>81</v>
      </c>
      <c r="E163" s="43">
        <v>538082</v>
      </c>
      <c r="F163" s="202">
        <v>59134</v>
      </c>
      <c r="G163" s="228">
        <f t="shared" si="3"/>
        <v>597216</v>
      </c>
    </row>
    <row r="164" spans="1:9" x14ac:dyDescent="0.25">
      <c r="A164" s="296"/>
      <c r="B164" s="299"/>
      <c r="C164" s="299"/>
      <c r="D164" s="32" t="s">
        <v>84</v>
      </c>
      <c r="E164" s="53">
        <f>960+101500</f>
        <v>102460</v>
      </c>
      <c r="F164" s="197"/>
      <c r="G164" s="228">
        <f t="shared" si="3"/>
        <v>102460</v>
      </c>
      <c r="I164" s="79"/>
    </row>
    <row r="165" spans="1:9" x14ac:dyDescent="0.25">
      <c r="A165" s="296"/>
      <c r="B165" s="299"/>
      <c r="C165" s="299"/>
      <c r="D165" s="33" t="s">
        <v>109</v>
      </c>
      <c r="E165" s="54">
        <v>551102</v>
      </c>
      <c r="F165" s="157">
        <v>105242</v>
      </c>
      <c r="G165" s="228">
        <f t="shared" si="3"/>
        <v>656344</v>
      </c>
    </row>
    <row r="166" spans="1:9" x14ac:dyDescent="0.25">
      <c r="A166" s="296"/>
      <c r="B166" s="300"/>
      <c r="C166" s="300"/>
      <c r="D166" s="35" t="s">
        <v>110</v>
      </c>
      <c r="E166" s="56">
        <v>13153</v>
      </c>
      <c r="F166" s="197"/>
      <c r="G166" s="228">
        <f t="shared" si="3"/>
        <v>13153</v>
      </c>
    </row>
    <row r="167" spans="1:9" ht="24.75" thickBot="1" x14ac:dyDescent="0.3">
      <c r="A167" s="297"/>
      <c r="B167" s="28" t="s">
        <v>82</v>
      </c>
      <c r="C167" s="29"/>
      <c r="D167" s="30"/>
      <c r="E167" s="77">
        <f>SUBTOTAL(9,E163:E166)</f>
        <v>1204797</v>
      </c>
      <c r="F167" s="52">
        <f>SUBTOTAL(9,F163:F166)</f>
        <v>164376</v>
      </c>
      <c r="G167" s="216">
        <f t="shared" si="3"/>
        <v>1369173</v>
      </c>
    </row>
    <row r="168" spans="1:9" x14ac:dyDescent="0.25">
      <c r="A168" s="295" t="s">
        <v>156</v>
      </c>
      <c r="B168" s="298" t="s">
        <v>157</v>
      </c>
      <c r="C168" s="298" t="s">
        <v>108</v>
      </c>
      <c r="D168" s="15" t="s">
        <v>81</v>
      </c>
      <c r="E168" s="43">
        <v>588751</v>
      </c>
      <c r="F168" s="202">
        <v>220000</v>
      </c>
      <c r="G168" s="228">
        <f t="shared" si="3"/>
        <v>808751</v>
      </c>
    </row>
    <row r="169" spans="1:9" x14ac:dyDescent="0.25">
      <c r="A169" s="296"/>
      <c r="B169" s="299"/>
      <c r="C169" s="299"/>
      <c r="D169" s="32" t="s">
        <v>84</v>
      </c>
      <c r="E169" s="53">
        <f>7680+116100</f>
        <v>123780</v>
      </c>
      <c r="F169" s="197"/>
      <c r="G169" s="228">
        <f t="shared" si="3"/>
        <v>123780</v>
      </c>
      <c r="I169" s="79"/>
    </row>
    <row r="170" spans="1:9" x14ac:dyDescent="0.25">
      <c r="A170" s="296"/>
      <c r="B170" s="299"/>
      <c r="C170" s="299"/>
      <c r="D170" s="32" t="s">
        <v>109</v>
      </c>
      <c r="E170" s="53">
        <v>747552</v>
      </c>
      <c r="F170" s="157"/>
      <c r="G170" s="228">
        <f t="shared" si="3"/>
        <v>747552</v>
      </c>
    </row>
    <row r="171" spans="1:9" x14ac:dyDescent="0.25">
      <c r="A171" s="296"/>
      <c r="B171" s="300"/>
      <c r="C171" s="300"/>
      <c r="D171" s="34" t="s">
        <v>110</v>
      </c>
      <c r="E171" s="55">
        <v>18111</v>
      </c>
      <c r="F171" s="197"/>
      <c r="G171" s="228">
        <f t="shared" si="3"/>
        <v>18111</v>
      </c>
    </row>
    <row r="172" spans="1:9" ht="24.75" thickBot="1" x14ac:dyDescent="0.3">
      <c r="A172" s="297"/>
      <c r="B172" s="28" t="s">
        <v>82</v>
      </c>
      <c r="C172" s="29"/>
      <c r="D172" s="30"/>
      <c r="E172" s="77">
        <f>SUBTOTAL(9,E168:E171)</f>
        <v>1478194</v>
      </c>
      <c r="F172" s="52">
        <f>SUBTOTAL(9,F168:F171)</f>
        <v>220000</v>
      </c>
      <c r="G172" s="216">
        <f t="shared" si="3"/>
        <v>1698194</v>
      </c>
    </row>
    <row r="173" spans="1:9" x14ac:dyDescent="0.25">
      <c r="A173" s="295" t="s">
        <v>158</v>
      </c>
      <c r="B173" s="298" t="s">
        <v>159</v>
      </c>
      <c r="C173" s="298" t="s">
        <v>108</v>
      </c>
      <c r="D173" s="15" t="s">
        <v>81</v>
      </c>
      <c r="E173" s="43">
        <v>577204</v>
      </c>
      <c r="F173" s="202">
        <v>161577</v>
      </c>
      <c r="G173" s="228">
        <f t="shared" si="3"/>
        <v>738781</v>
      </c>
    </row>
    <row r="174" spans="1:9" x14ac:dyDescent="0.25">
      <c r="A174" s="296"/>
      <c r="B174" s="299"/>
      <c r="C174" s="299"/>
      <c r="D174" s="32" t="s">
        <v>84</v>
      </c>
      <c r="E174" s="54">
        <f>10140+112900</f>
        <v>123040</v>
      </c>
      <c r="F174" s="197"/>
      <c r="G174" s="228">
        <f t="shared" si="3"/>
        <v>123040</v>
      </c>
      <c r="I174" s="79"/>
    </row>
    <row r="175" spans="1:9" x14ac:dyDescent="0.25">
      <c r="A175" s="296"/>
      <c r="B175" s="299"/>
      <c r="C175" s="299"/>
      <c r="D175" s="32" t="s">
        <v>109</v>
      </c>
      <c r="E175" s="53">
        <v>716469</v>
      </c>
      <c r="F175" s="157">
        <v>45582</v>
      </c>
      <c r="G175" s="228">
        <f t="shared" si="3"/>
        <v>762051</v>
      </c>
    </row>
    <row r="176" spans="1:9" x14ac:dyDescent="0.25">
      <c r="A176" s="296"/>
      <c r="B176" s="300"/>
      <c r="C176" s="300"/>
      <c r="D176" s="34" t="s">
        <v>110</v>
      </c>
      <c r="E176" s="55">
        <v>15172</v>
      </c>
      <c r="F176" s="197"/>
      <c r="G176" s="228">
        <f t="shared" si="3"/>
        <v>15172</v>
      </c>
    </row>
    <row r="177" spans="1:16" ht="24.75" thickBot="1" x14ac:dyDescent="0.3">
      <c r="A177" s="297"/>
      <c r="B177" s="28" t="s">
        <v>82</v>
      </c>
      <c r="C177" s="29"/>
      <c r="D177" s="30"/>
      <c r="E177" s="77">
        <f>SUBTOTAL(9,E173:E176)</f>
        <v>1431885</v>
      </c>
      <c r="F177" s="52">
        <f>SUBTOTAL(9,F173:F176)</f>
        <v>207159</v>
      </c>
      <c r="G177" s="216">
        <f t="shared" si="3"/>
        <v>1639044</v>
      </c>
    </row>
    <row r="178" spans="1:16" x14ac:dyDescent="0.25">
      <c r="A178" s="295" t="s">
        <v>160</v>
      </c>
      <c r="B178" s="298" t="s">
        <v>161</v>
      </c>
      <c r="C178" s="298" t="s">
        <v>108</v>
      </c>
      <c r="D178" s="15" t="s">
        <v>81</v>
      </c>
      <c r="E178" s="43">
        <v>392224</v>
      </c>
      <c r="F178" s="202">
        <v>26920</v>
      </c>
      <c r="G178" s="228">
        <f t="shared" si="3"/>
        <v>419144</v>
      </c>
    </row>
    <row r="179" spans="1:16" x14ac:dyDescent="0.25">
      <c r="A179" s="296"/>
      <c r="B179" s="299"/>
      <c r="C179" s="299"/>
      <c r="D179" s="32" t="s">
        <v>84</v>
      </c>
      <c r="E179" s="54">
        <f>68000</f>
        <v>68000</v>
      </c>
      <c r="F179" s="197"/>
      <c r="G179" s="228">
        <f t="shared" si="3"/>
        <v>68000</v>
      </c>
      <c r="I179" s="79"/>
    </row>
    <row r="180" spans="1:16" x14ac:dyDescent="0.25">
      <c r="A180" s="296"/>
      <c r="B180" s="299"/>
      <c r="C180" s="299"/>
      <c r="D180" s="32" t="s">
        <v>109</v>
      </c>
      <c r="E180" s="53">
        <v>635039</v>
      </c>
      <c r="F180" s="157">
        <v>74862</v>
      </c>
      <c r="G180" s="228">
        <f t="shared" si="3"/>
        <v>709901</v>
      </c>
    </row>
    <row r="181" spans="1:16" x14ac:dyDescent="0.25">
      <c r="A181" s="296"/>
      <c r="B181" s="300"/>
      <c r="C181" s="300"/>
      <c r="D181" s="34" t="s">
        <v>110</v>
      </c>
      <c r="E181" s="55">
        <v>9352</v>
      </c>
      <c r="F181" s="197"/>
      <c r="G181" s="228">
        <f t="shared" si="3"/>
        <v>9352</v>
      </c>
      <c r="P181" s="224"/>
    </row>
    <row r="182" spans="1:16" ht="24.75" thickBot="1" x14ac:dyDescent="0.3">
      <c r="A182" s="297"/>
      <c r="B182" s="28" t="s">
        <v>82</v>
      </c>
      <c r="C182" s="29"/>
      <c r="D182" s="30"/>
      <c r="E182" s="77">
        <f>SUBTOTAL(9,E178:E181)</f>
        <v>1104615</v>
      </c>
      <c r="F182" s="52">
        <f>SUBTOTAL(9,F178:F181)</f>
        <v>101782</v>
      </c>
      <c r="G182" s="216">
        <f t="shared" si="3"/>
        <v>1206397</v>
      </c>
      <c r="I182" s="205"/>
      <c r="K182" s="79"/>
      <c r="M182" s="95"/>
      <c r="N182" s="95"/>
      <c r="O182" s="95"/>
    </row>
    <row r="183" spans="1:16" x14ac:dyDescent="0.25">
      <c r="A183" s="295" t="s">
        <v>162</v>
      </c>
      <c r="B183" s="298" t="s">
        <v>163</v>
      </c>
      <c r="C183" s="298" t="s">
        <v>108</v>
      </c>
      <c r="D183" s="15" t="s">
        <v>81</v>
      </c>
      <c r="E183" s="43">
        <f>558361</f>
        <v>558361</v>
      </c>
      <c r="F183" s="202">
        <v>42397</v>
      </c>
      <c r="G183" s="228">
        <f t="shared" si="3"/>
        <v>600758</v>
      </c>
      <c r="M183" s="95"/>
      <c r="N183" s="95"/>
      <c r="O183" s="95"/>
    </row>
    <row r="184" spans="1:16" x14ac:dyDescent="0.25">
      <c r="A184" s="296"/>
      <c r="B184" s="299"/>
      <c r="C184" s="299"/>
      <c r="D184" s="32" t="s">
        <v>84</v>
      </c>
      <c r="E184" s="53">
        <f>4050+34200</f>
        <v>38250</v>
      </c>
      <c r="F184" s="197"/>
      <c r="G184" s="228">
        <f t="shared" si="3"/>
        <v>38250</v>
      </c>
      <c r="M184" s="95"/>
      <c r="N184" s="95"/>
      <c r="O184" s="95"/>
    </row>
    <row r="185" spans="1:16" x14ac:dyDescent="0.25">
      <c r="A185" s="296"/>
      <c r="B185" s="299"/>
      <c r="C185" s="299"/>
      <c r="D185" s="32" t="s">
        <v>109</v>
      </c>
      <c r="E185" s="54">
        <v>244926</v>
      </c>
      <c r="F185" s="157">
        <v>-5660</v>
      </c>
      <c r="G185" s="228">
        <f t="shared" si="3"/>
        <v>239266</v>
      </c>
      <c r="M185" s="95"/>
      <c r="N185" s="95"/>
      <c r="O185" s="95"/>
    </row>
    <row r="186" spans="1:16" x14ac:dyDescent="0.25">
      <c r="A186" s="296"/>
      <c r="B186" s="300"/>
      <c r="C186" s="300"/>
      <c r="D186" s="34" t="s">
        <v>110</v>
      </c>
      <c r="E186" s="56">
        <v>123679</v>
      </c>
      <c r="F186" s="157"/>
      <c r="G186" s="228">
        <f t="shared" si="3"/>
        <v>123679</v>
      </c>
      <c r="M186" s="95"/>
      <c r="N186" s="95"/>
      <c r="O186" s="95"/>
    </row>
    <row r="187" spans="1:16" ht="24.75" thickBot="1" x14ac:dyDescent="0.3">
      <c r="A187" s="297"/>
      <c r="B187" s="28" t="s">
        <v>82</v>
      </c>
      <c r="C187" s="29"/>
      <c r="D187" s="30"/>
      <c r="E187" s="77">
        <f>SUBTOTAL(9,E183:E186)</f>
        <v>965216</v>
      </c>
      <c r="F187" s="52">
        <f>SUBTOTAL(9,F183:F186)</f>
        <v>36737</v>
      </c>
      <c r="G187" s="216">
        <f t="shared" si="3"/>
        <v>1001953</v>
      </c>
      <c r="M187" s="95"/>
      <c r="N187" s="109"/>
      <c r="O187" s="95"/>
    </row>
    <row r="188" spans="1:16" x14ac:dyDescent="0.25">
      <c r="A188" s="295" t="s">
        <v>164</v>
      </c>
      <c r="B188" s="298" t="s">
        <v>165</v>
      </c>
      <c r="C188" s="298" t="s">
        <v>108</v>
      </c>
      <c r="D188" s="15" t="s">
        <v>81</v>
      </c>
      <c r="E188" s="43">
        <f>683127+517632</f>
        <v>1200759</v>
      </c>
      <c r="F188" s="202">
        <v>33700</v>
      </c>
      <c r="G188" s="228">
        <f t="shared" si="3"/>
        <v>1234459</v>
      </c>
      <c r="M188" s="223"/>
      <c r="N188" s="95"/>
      <c r="O188" s="95"/>
    </row>
    <row r="189" spans="1:16" x14ac:dyDescent="0.25">
      <c r="A189" s="296"/>
      <c r="B189" s="299"/>
      <c r="C189" s="299"/>
      <c r="D189" s="32" t="s">
        <v>84</v>
      </c>
      <c r="E189" s="53">
        <v>453100</v>
      </c>
      <c r="F189" s="157"/>
      <c r="G189" s="228">
        <f t="shared" si="3"/>
        <v>453100</v>
      </c>
      <c r="M189" s="223"/>
      <c r="N189" s="95"/>
      <c r="O189" s="95"/>
    </row>
    <row r="190" spans="1:16" x14ac:dyDescent="0.25">
      <c r="A190" s="296"/>
      <c r="B190" s="299"/>
      <c r="C190" s="299"/>
      <c r="D190" s="32" t="s">
        <v>109</v>
      </c>
      <c r="E190" s="54">
        <v>61727</v>
      </c>
      <c r="F190" s="157"/>
      <c r="G190" s="228">
        <f t="shared" si="3"/>
        <v>61727</v>
      </c>
      <c r="M190" s="223"/>
      <c r="N190" s="95"/>
      <c r="O190" s="95"/>
    </row>
    <row r="191" spans="1:16" x14ac:dyDescent="0.25">
      <c r="A191" s="296"/>
      <c r="B191" s="300"/>
      <c r="C191" s="300"/>
      <c r="D191" s="34" t="s">
        <v>110</v>
      </c>
      <c r="E191" s="56">
        <v>46731</v>
      </c>
      <c r="F191" s="197"/>
      <c r="G191" s="228">
        <f t="shared" si="3"/>
        <v>46731</v>
      </c>
      <c r="M191" s="244"/>
      <c r="N191" s="95"/>
      <c r="O191" s="95"/>
    </row>
    <row r="192" spans="1:16" ht="24.75" thickBot="1" x14ac:dyDescent="0.3">
      <c r="A192" s="297"/>
      <c r="B192" s="28" t="s">
        <v>82</v>
      </c>
      <c r="C192" s="29"/>
      <c r="D192" s="30"/>
      <c r="E192" s="77">
        <f>SUBTOTAL(9,E188:E191)</f>
        <v>1762317</v>
      </c>
      <c r="F192" s="52">
        <f>SUBTOTAL(9,F188:F191)</f>
        <v>33700</v>
      </c>
      <c r="G192" s="216">
        <f t="shared" si="3"/>
        <v>1796017</v>
      </c>
      <c r="M192" s="95"/>
      <c r="N192" s="95"/>
      <c r="O192" s="95"/>
    </row>
    <row r="193" spans="1:16" x14ac:dyDescent="0.25">
      <c r="A193" s="295" t="s">
        <v>166</v>
      </c>
      <c r="B193" s="298" t="s">
        <v>167</v>
      </c>
      <c r="C193" s="298" t="s">
        <v>108</v>
      </c>
      <c r="D193" s="15" t="s">
        <v>81</v>
      </c>
      <c r="E193" s="43">
        <f>1169565</f>
        <v>1169565</v>
      </c>
      <c r="F193" s="202">
        <v>14700</v>
      </c>
      <c r="G193" s="228">
        <f t="shared" si="3"/>
        <v>1184265</v>
      </c>
      <c r="M193" s="95"/>
      <c r="N193" s="95"/>
      <c r="O193" s="95"/>
    </row>
    <row r="194" spans="1:16" x14ac:dyDescent="0.25">
      <c r="A194" s="296"/>
      <c r="B194" s="299"/>
      <c r="C194" s="299"/>
      <c r="D194" s="32" t="s">
        <v>84</v>
      </c>
      <c r="E194" s="53">
        <f>29590+104000</f>
        <v>133590</v>
      </c>
      <c r="F194" s="197"/>
      <c r="G194" s="228">
        <f t="shared" si="3"/>
        <v>133590</v>
      </c>
    </row>
    <row r="195" spans="1:16" x14ac:dyDescent="0.25">
      <c r="A195" s="296"/>
      <c r="B195" s="299"/>
      <c r="C195" s="299"/>
      <c r="D195" s="32" t="s">
        <v>109</v>
      </c>
      <c r="E195" s="53">
        <v>42120</v>
      </c>
      <c r="F195" s="157"/>
      <c r="G195" s="228">
        <f t="shared" si="3"/>
        <v>42120</v>
      </c>
      <c r="P195" s="81"/>
    </row>
    <row r="196" spans="1:16" x14ac:dyDescent="0.25">
      <c r="A196" s="296"/>
      <c r="B196" s="300"/>
      <c r="C196" s="300"/>
      <c r="D196" s="34" t="s">
        <v>110</v>
      </c>
      <c r="E196" s="55">
        <v>114395</v>
      </c>
      <c r="F196" s="197"/>
      <c r="G196" s="228">
        <f t="shared" si="3"/>
        <v>114395</v>
      </c>
    </row>
    <row r="197" spans="1:16" ht="24.75" thickBot="1" x14ac:dyDescent="0.3">
      <c r="A197" s="297"/>
      <c r="B197" s="28" t="s">
        <v>82</v>
      </c>
      <c r="C197" s="29"/>
      <c r="D197" s="30"/>
      <c r="E197" s="77">
        <f>SUBTOTAL(9,E193:E196)</f>
        <v>1459670</v>
      </c>
      <c r="F197" s="52">
        <f>SUBTOTAL(9,F193:F196)</f>
        <v>14700</v>
      </c>
      <c r="G197" s="216">
        <f t="shared" si="3"/>
        <v>1474370</v>
      </c>
    </row>
    <row r="198" spans="1:16" x14ac:dyDescent="0.25">
      <c r="A198" s="295" t="s">
        <v>168</v>
      </c>
      <c r="B198" s="298" t="s">
        <v>169</v>
      </c>
      <c r="C198" s="298" t="s">
        <v>108</v>
      </c>
      <c r="D198" s="15" t="s">
        <v>81</v>
      </c>
      <c r="E198" s="43">
        <f>393392</f>
        <v>393392</v>
      </c>
      <c r="F198" s="227"/>
      <c r="G198" s="228">
        <f t="shared" si="3"/>
        <v>393392</v>
      </c>
    </row>
    <row r="199" spans="1:16" x14ac:dyDescent="0.25">
      <c r="A199" s="296"/>
      <c r="B199" s="299"/>
      <c r="C199" s="299"/>
      <c r="D199" s="32" t="s">
        <v>84</v>
      </c>
      <c r="E199" s="53">
        <f>18270+21000</f>
        <v>39270</v>
      </c>
      <c r="F199" s="197"/>
      <c r="G199" s="228">
        <f t="shared" si="3"/>
        <v>39270</v>
      </c>
    </row>
    <row r="200" spans="1:16" x14ac:dyDescent="0.25">
      <c r="A200" s="296"/>
      <c r="B200" s="299"/>
      <c r="C200" s="299"/>
      <c r="D200" s="32" t="s">
        <v>109</v>
      </c>
      <c r="E200" s="54">
        <v>18395</v>
      </c>
      <c r="F200" s="197"/>
      <c r="G200" s="228">
        <f t="shared" si="3"/>
        <v>18395</v>
      </c>
    </row>
    <row r="201" spans="1:16" x14ac:dyDescent="0.25">
      <c r="A201" s="296"/>
      <c r="B201" s="300"/>
      <c r="C201" s="300"/>
      <c r="D201" s="34" t="s">
        <v>110</v>
      </c>
      <c r="E201" s="56">
        <v>33253</v>
      </c>
      <c r="F201" s="197"/>
      <c r="G201" s="228">
        <f t="shared" si="3"/>
        <v>33253</v>
      </c>
    </row>
    <row r="202" spans="1:16" ht="24.75" thickBot="1" x14ac:dyDescent="0.3">
      <c r="A202" s="297"/>
      <c r="B202" s="28" t="s">
        <v>82</v>
      </c>
      <c r="C202" s="29"/>
      <c r="D202" s="30"/>
      <c r="E202" s="77">
        <f>SUBTOTAL(9,E198:E201)</f>
        <v>484310</v>
      </c>
      <c r="F202" s="52">
        <f>SUBTOTAL(9,F198:F201)</f>
        <v>0</v>
      </c>
      <c r="G202" s="216">
        <f t="shared" si="3"/>
        <v>484310</v>
      </c>
    </row>
    <row r="203" spans="1:16" x14ac:dyDescent="0.25">
      <c r="A203" s="295" t="s">
        <v>170</v>
      </c>
      <c r="B203" s="298" t="s">
        <v>171</v>
      </c>
      <c r="C203" s="298" t="s">
        <v>113</v>
      </c>
      <c r="D203" s="15" t="s">
        <v>81</v>
      </c>
      <c r="E203" s="43">
        <v>1157087</v>
      </c>
      <c r="F203" s="202">
        <v>44502</v>
      </c>
      <c r="G203" s="228">
        <f t="shared" si="3"/>
        <v>1201589</v>
      </c>
    </row>
    <row r="204" spans="1:16" x14ac:dyDescent="0.25">
      <c r="A204" s="296"/>
      <c r="B204" s="299"/>
      <c r="C204" s="299"/>
      <c r="D204" s="32" t="s">
        <v>84</v>
      </c>
      <c r="E204" s="53">
        <f>63400</f>
        <v>63400</v>
      </c>
      <c r="F204" s="197"/>
      <c r="G204" s="228">
        <f t="shared" si="3"/>
        <v>63400</v>
      </c>
    </row>
    <row r="205" spans="1:16" x14ac:dyDescent="0.25">
      <c r="A205" s="296"/>
      <c r="B205" s="300"/>
      <c r="C205" s="300"/>
      <c r="D205" s="32" t="s">
        <v>110</v>
      </c>
      <c r="E205" s="53">
        <f>15600+14348</f>
        <v>29948</v>
      </c>
      <c r="F205" s="197"/>
      <c r="G205" s="228">
        <f t="shared" si="3"/>
        <v>29948</v>
      </c>
    </row>
    <row r="206" spans="1:16" ht="24.75" thickBot="1" x14ac:dyDescent="0.3">
      <c r="A206" s="297"/>
      <c r="B206" s="28" t="s">
        <v>82</v>
      </c>
      <c r="C206" s="29"/>
      <c r="D206" s="30"/>
      <c r="E206" s="77">
        <f>SUBTOTAL(9,E203:E205)</f>
        <v>1250435</v>
      </c>
      <c r="F206" s="52">
        <f>SUBTOTAL(9,F203:F205)</f>
        <v>44502</v>
      </c>
      <c r="G206" s="216">
        <f t="shared" si="3"/>
        <v>1294937</v>
      </c>
    </row>
    <row r="207" spans="1:16" ht="15" customHeight="1" x14ac:dyDescent="0.25">
      <c r="A207" s="295" t="s">
        <v>172</v>
      </c>
      <c r="B207" s="298" t="s">
        <v>173</v>
      </c>
      <c r="C207" s="298" t="s">
        <v>113</v>
      </c>
      <c r="D207" s="15" t="s">
        <v>81</v>
      </c>
      <c r="E207" s="43">
        <f>2130030</f>
        <v>2130030</v>
      </c>
      <c r="F207" s="234"/>
      <c r="G207" s="235">
        <f t="shared" si="3"/>
        <v>2130030</v>
      </c>
    </row>
    <row r="208" spans="1:16" x14ac:dyDescent="0.25">
      <c r="A208" s="296"/>
      <c r="B208" s="299"/>
      <c r="C208" s="299"/>
      <c r="D208" s="32" t="s">
        <v>84</v>
      </c>
      <c r="E208" s="53">
        <v>172970</v>
      </c>
      <c r="F208" s="157"/>
      <c r="G208" s="228">
        <f t="shared" ref="G208:G217" si="4">E208+F208</f>
        <v>172970</v>
      </c>
    </row>
    <row r="209" spans="1:7" x14ac:dyDescent="0.25">
      <c r="A209" s="296"/>
      <c r="B209" s="299"/>
      <c r="C209" s="299"/>
      <c r="D209" s="32" t="s">
        <v>85</v>
      </c>
      <c r="E209" s="53">
        <f>480700</f>
        <v>480700</v>
      </c>
      <c r="F209" s="197"/>
      <c r="G209" s="228">
        <f t="shared" si="4"/>
        <v>480700</v>
      </c>
    </row>
    <row r="210" spans="1:7" x14ac:dyDescent="0.25">
      <c r="A210" s="296"/>
      <c r="B210" s="299"/>
      <c r="C210" s="299"/>
      <c r="D210" s="32" t="s">
        <v>110</v>
      </c>
      <c r="E210" s="53">
        <f>59002+41454</f>
        <v>100456</v>
      </c>
      <c r="F210" s="197"/>
      <c r="G210" s="228">
        <f t="shared" si="4"/>
        <v>100456</v>
      </c>
    </row>
    <row r="211" spans="1:7" x14ac:dyDescent="0.25">
      <c r="A211" s="296"/>
      <c r="B211" s="299"/>
      <c r="C211" s="299"/>
      <c r="D211" s="34" t="s">
        <v>86</v>
      </c>
      <c r="E211" s="55">
        <v>14866</v>
      </c>
      <c r="F211" s="236">
        <v>14924</v>
      </c>
      <c r="G211" s="228">
        <f t="shared" si="4"/>
        <v>29790</v>
      </c>
    </row>
    <row r="212" spans="1:7" x14ac:dyDescent="0.25">
      <c r="A212" s="296"/>
      <c r="B212" s="300"/>
      <c r="C212" s="300"/>
      <c r="D212" s="34" t="s">
        <v>92</v>
      </c>
      <c r="E212" s="55">
        <v>3717</v>
      </c>
      <c r="F212" s="236">
        <v>3763</v>
      </c>
      <c r="G212" s="228">
        <f t="shared" si="4"/>
        <v>7480</v>
      </c>
    </row>
    <row r="213" spans="1:7" ht="24.75" thickBot="1" x14ac:dyDescent="0.3">
      <c r="A213" s="296"/>
      <c r="B213" s="16" t="s">
        <v>82</v>
      </c>
      <c r="C213" s="17"/>
      <c r="D213" s="18"/>
      <c r="E213" s="212">
        <f>SUBTOTAL(9,E207:E212)</f>
        <v>2902739</v>
      </c>
      <c r="F213" s="44">
        <f>SUBTOTAL(9,F207:F212)</f>
        <v>18687</v>
      </c>
      <c r="G213" s="237">
        <f t="shared" si="4"/>
        <v>2921426</v>
      </c>
    </row>
    <row r="214" spans="1:7" ht="15" customHeight="1" x14ac:dyDescent="0.25">
      <c r="A214" s="295" t="s">
        <v>269</v>
      </c>
      <c r="B214" s="298" t="s">
        <v>270</v>
      </c>
      <c r="C214" s="298" t="s">
        <v>115</v>
      </c>
      <c r="D214" s="301" t="s">
        <v>81</v>
      </c>
      <c r="E214" s="303"/>
      <c r="F214" s="305">
        <v>4750</v>
      </c>
      <c r="G214" s="307">
        <f>E214+F214</f>
        <v>4750</v>
      </c>
    </row>
    <row r="215" spans="1:7" x14ac:dyDescent="0.25">
      <c r="A215" s="296"/>
      <c r="B215" s="300"/>
      <c r="C215" s="300"/>
      <c r="D215" s="302"/>
      <c r="E215" s="304"/>
      <c r="F215" s="306"/>
      <c r="G215" s="308"/>
    </row>
    <row r="216" spans="1:7" ht="24.75" thickBot="1" x14ac:dyDescent="0.3">
      <c r="A216" s="297"/>
      <c r="B216" s="28" t="s">
        <v>82</v>
      </c>
      <c r="C216" s="214"/>
      <c r="D216" s="30"/>
      <c r="E216" s="165">
        <f>E214</f>
        <v>0</v>
      </c>
      <c r="F216" s="164">
        <f t="shared" ref="F216:G216" si="5">F214</f>
        <v>4750</v>
      </c>
      <c r="G216" s="216">
        <f t="shared" si="5"/>
        <v>4750</v>
      </c>
    </row>
    <row r="217" spans="1:7" ht="15.75" thickBot="1" x14ac:dyDescent="0.3">
      <c r="A217" s="288" t="s">
        <v>174</v>
      </c>
      <c r="B217" s="289"/>
      <c r="C217" s="289"/>
      <c r="D217" s="213"/>
      <c r="E217" s="215">
        <f>E12+E67+E70+E72+E74+E76+E78+E80+E82+E84+E86+E88+E91+E94+E97+E101+E105+E108+E113+E117+E122+E127+E132+E137+E142+E147+E152+E157+E162+E167+E172+E177+E182+E187+E192+E197+E202+E206+E213+E216</f>
        <v>89585644</v>
      </c>
      <c r="F217" s="211">
        <f>F12+F67+F70+F72+F74+F76+F78+F80+F82+F84+F86+F88+F91+F94+F97+F101+F105+F108+F113+F117+F122+F127+F132+F137+F142+F147+F152+F157+F162+F167+F172+F177+F182+F187+F192+F197+F202+F206+F213+F216</f>
        <v>314713</v>
      </c>
      <c r="G217" s="238">
        <f t="shared" si="4"/>
        <v>89900357</v>
      </c>
    </row>
    <row r="218" spans="1:7" ht="15.75" thickBot="1" x14ac:dyDescent="0.3">
      <c r="A218" s="8"/>
      <c r="B218" s="8"/>
      <c r="C218" s="8"/>
      <c r="D218" s="37"/>
      <c r="E218" s="8"/>
      <c r="F218" s="37"/>
      <c r="G218" s="37"/>
    </row>
    <row r="219" spans="1:7" ht="36.75" thickBot="1" x14ac:dyDescent="0.3">
      <c r="A219" s="8"/>
      <c r="B219" s="38" t="s">
        <v>175</v>
      </c>
      <c r="C219" s="266" t="s">
        <v>176</v>
      </c>
      <c r="D219" s="266"/>
      <c r="E219" s="57" t="s">
        <v>177</v>
      </c>
      <c r="F219" s="239" t="s">
        <v>209</v>
      </c>
      <c r="G219" s="240" t="s">
        <v>210</v>
      </c>
    </row>
    <row r="220" spans="1:7" x14ac:dyDescent="0.25">
      <c r="A220" s="8"/>
      <c r="B220" s="39" t="s">
        <v>178</v>
      </c>
      <c r="C220" s="294" t="s">
        <v>179</v>
      </c>
      <c r="D220" s="294"/>
      <c r="E220" s="58">
        <f>E12+E18+E70</f>
        <v>8377262</v>
      </c>
      <c r="F220" s="202">
        <f>F18+F69</f>
        <v>45300</v>
      </c>
      <c r="G220" s="228">
        <f>E220+F220</f>
        <v>8422562</v>
      </c>
    </row>
    <row r="221" spans="1:7" x14ac:dyDescent="0.25">
      <c r="A221" s="8"/>
      <c r="B221" s="40" t="s">
        <v>180</v>
      </c>
      <c r="C221" s="291" t="s">
        <v>181</v>
      </c>
      <c r="D221" s="291"/>
      <c r="E221" s="48">
        <f>E22+E72+E74+E76+E78+E80+E82+E84+E86+E88</f>
        <v>4684368</v>
      </c>
      <c r="F221" s="48">
        <f>F22+F72+F74+F76+F78+F80+F82+F84+F86+F88</f>
        <v>124400</v>
      </c>
      <c r="G221" s="241">
        <f t="shared" ref="G221:G231" si="6">E221+F221</f>
        <v>4808768</v>
      </c>
    </row>
    <row r="222" spans="1:7" x14ac:dyDescent="0.25">
      <c r="A222" s="8"/>
      <c r="B222" s="40" t="s">
        <v>182</v>
      </c>
      <c r="C222" s="291" t="s">
        <v>183</v>
      </c>
      <c r="D222" s="291"/>
      <c r="E222" s="48">
        <f>E27</f>
        <v>792482</v>
      </c>
      <c r="F222" s="48"/>
      <c r="G222" s="241">
        <f t="shared" si="6"/>
        <v>792482</v>
      </c>
    </row>
    <row r="223" spans="1:7" ht="29.25" customHeight="1" x14ac:dyDescent="0.25">
      <c r="A223" s="8"/>
      <c r="B223" s="40" t="s">
        <v>184</v>
      </c>
      <c r="C223" s="291" t="s">
        <v>185</v>
      </c>
      <c r="D223" s="291"/>
      <c r="E223" s="48">
        <f>E35</f>
        <v>10177286</v>
      </c>
      <c r="F223" s="48">
        <f>F35</f>
        <v>-1690943</v>
      </c>
      <c r="G223" s="241">
        <f t="shared" si="6"/>
        <v>8486343</v>
      </c>
    </row>
    <row r="224" spans="1:7" x14ac:dyDescent="0.25">
      <c r="A224" s="8"/>
      <c r="B224" s="40" t="s">
        <v>186</v>
      </c>
      <c r="C224" s="291" t="s">
        <v>187</v>
      </c>
      <c r="D224" s="291"/>
      <c r="E224" s="48">
        <f>E40</f>
        <v>9821105</v>
      </c>
      <c r="F224" s="48"/>
      <c r="G224" s="241">
        <f t="shared" si="6"/>
        <v>9821105</v>
      </c>
    </row>
    <row r="225" spans="1:12" x14ac:dyDescent="0.25">
      <c r="A225" s="8"/>
      <c r="B225" s="40" t="s">
        <v>188</v>
      </c>
      <c r="C225" s="291" t="s">
        <v>189</v>
      </c>
      <c r="D225" s="291"/>
      <c r="E225" s="48">
        <f>E43+E91</f>
        <v>776140</v>
      </c>
      <c r="F225" s="48">
        <f>F90</f>
        <v>-20000</v>
      </c>
      <c r="G225" s="241">
        <f t="shared" si="6"/>
        <v>756140</v>
      </c>
    </row>
    <row r="226" spans="1:12" x14ac:dyDescent="0.25">
      <c r="A226" s="8"/>
      <c r="B226" s="40" t="s">
        <v>190</v>
      </c>
      <c r="C226" s="291" t="s">
        <v>191</v>
      </c>
      <c r="D226" s="291"/>
      <c r="E226" s="48">
        <f>E45+E94+E97+E101+E105+E108</f>
        <v>5376575</v>
      </c>
      <c r="F226" s="48">
        <f>F45+F94+F97+F101+F105+F108</f>
        <v>222225</v>
      </c>
      <c r="G226" s="241">
        <f t="shared" si="6"/>
        <v>5598800</v>
      </c>
    </row>
    <row r="227" spans="1:12" x14ac:dyDescent="0.25">
      <c r="A227" s="8"/>
      <c r="B227" s="40" t="s">
        <v>192</v>
      </c>
      <c r="C227" s="291" t="s">
        <v>193</v>
      </c>
      <c r="D227" s="291"/>
      <c r="E227" s="48">
        <f>E53+E113+E117+E122+E127+E132+E137+E142+E147+E152+E157+E162+E167+E172+E177+E182+E187+E192+E197+E202</f>
        <v>37786930</v>
      </c>
      <c r="F227" s="48">
        <f>F53+F113+F117+F122+F127+F132+F137+F162+F167+F172+F177+F182+F187+F192+F142+F147+F152+F157+F197+F202</f>
        <v>1519032</v>
      </c>
      <c r="G227" s="241">
        <f t="shared" si="6"/>
        <v>39305962</v>
      </c>
    </row>
    <row r="228" spans="1:12" x14ac:dyDescent="0.25">
      <c r="A228" s="8"/>
      <c r="B228" s="40" t="s">
        <v>194</v>
      </c>
      <c r="C228" s="291" t="s">
        <v>195</v>
      </c>
      <c r="D228" s="291"/>
      <c r="E228" s="48">
        <f>E59+E206+E213</f>
        <v>10645408</v>
      </c>
      <c r="F228" s="48">
        <f>F59+F206+F213</f>
        <v>109050</v>
      </c>
      <c r="G228" s="241">
        <f t="shared" si="6"/>
        <v>10754458</v>
      </c>
    </row>
    <row r="229" spans="1:12" x14ac:dyDescent="0.25">
      <c r="A229" s="8"/>
      <c r="B229" s="41">
        <v>10</v>
      </c>
      <c r="C229" s="292" t="s">
        <v>196</v>
      </c>
      <c r="D229" s="293"/>
      <c r="E229" s="59">
        <f>E61+E216</f>
        <v>871000</v>
      </c>
      <c r="F229" s="59">
        <f>F61+F216</f>
        <v>4750</v>
      </c>
      <c r="G229" s="241">
        <f t="shared" si="6"/>
        <v>875750</v>
      </c>
      <c r="J229" s="204"/>
      <c r="K229" s="204"/>
    </row>
    <row r="230" spans="1:12" ht="26.25" customHeight="1" thickBot="1" x14ac:dyDescent="0.3">
      <c r="A230" s="8"/>
      <c r="B230" s="41">
        <v>11</v>
      </c>
      <c r="C230" s="287" t="s">
        <v>197</v>
      </c>
      <c r="D230" s="287"/>
      <c r="E230" s="59">
        <f>E66</f>
        <v>277088</v>
      </c>
      <c r="F230" s="236">
        <f>F66</f>
        <v>899</v>
      </c>
      <c r="G230" s="242">
        <f t="shared" si="6"/>
        <v>277987</v>
      </c>
      <c r="J230" s="198"/>
      <c r="K230" s="198"/>
    </row>
    <row r="231" spans="1:12" ht="15.75" thickBot="1" x14ac:dyDescent="0.3">
      <c r="A231" s="8"/>
      <c r="B231" s="288" t="s">
        <v>174</v>
      </c>
      <c r="C231" s="289"/>
      <c r="D231" s="290"/>
      <c r="E231" s="66">
        <f t="shared" ref="E231:F231" si="7">SUBTOTAL(9,E220:E230)</f>
        <v>89585644</v>
      </c>
      <c r="F231" s="66">
        <f t="shared" si="7"/>
        <v>314713</v>
      </c>
      <c r="G231" s="243">
        <f t="shared" si="6"/>
        <v>89900357</v>
      </c>
    </row>
    <row r="232" spans="1:12" ht="15.75" thickBot="1" x14ac:dyDescent="0.3">
      <c r="A232" s="8"/>
      <c r="B232" s="8"/>
      <c r="C232" s="8"/>
      <c r="D232" s="37"/>
      <c r="E232" s="8"/>
      <c r="F232" s="37"/>
      <c r="G232" s="37"/>
    </row>
    <row r="233" spans="1:12" ht="36.75" thickBot="1" x14ac:dyDescent="0.3">
      <c r="A233" s="8"/>
      <c r="B233" s="42" t="s">
        <v>198</v>
      </c>
      <c r="C233" s="266" t="s">
        <v>176</v>
      </c>
      <c r="D233" s="266"/>
      <c r="E233" s="60" t="s">
        <v>177</v>
      </c>
      <c r="F233" s="239" t="s">
        <v>209</v>
      </c>
      <c r="G233" s="240" t="s">
        <v>210</v>
      </c>
      <c r="J233" s="220"/>
    </row>
    <row r="234" spans="1:12" ht="24.75" customHeight="1" x14ac:dyDescent="0.25">
      <c r="A234" s="8"/>
      <c r="B234" s="39" t="s">
        <v>81</v>
      </c>
      <c r="C234" s="286" t="s">
        <v>199</v>
      </c>
      <c r="D234" s="286"/>
      <c r="E234" s="75">
        <f>E11+E13+E19+E23+E28+E36+E41+E44+E46+E54+E60+E62+E68+E71+E73+E75+E77+E79+E81+E83+E85+E87+E89+E92+E95+E98+E102+E106+E109+E114+E118+E123+E128+E133+E138+E143+E148+E153+E158+E163+E168+E173+E178+E183+E188+E193+E198+E203+E207+E214</f>
        <v>49159740</v>
      </c>
      <c r="F234" s="75">
        <f>F11+F13+F19+F23+F28+F36+F41+F44+F46+F54+F60+F62+F68+F71+F73+F75+F77+F79+F81+F83+F85+F87+F89+F92+F95+F98+F102+F106+F109+F114+F118+F123+F128+F133+F138+F143+F148+F153+F158+F163+F168+F173+F178+F183+F188+F193+F198+F203+F207+F214</f>
        <v>7295</v>
      </c>
      <c r="G234" s="228">
        <f>E234+F234</f>
        <v>49167035</v>
      </c>
      <c r="I234" s="198"/>
      <c r="J234" s="219"/>
      <c r="K234" s="199"/>
      <c r="L234" s="218"/>
    </row>
    <row r="235" spans="1:12" ht="21" customHeight="1" x14ac:dyDescent="0.25">
      <c r="A235" s="8"/>
      <c r="B235" s="40" t="s">
        <v>84</v>
      </c>
      <c r="C235" s="279" t="s">
        <v>200</v>
      </c>
      <c r="D235" s="279"/>
      <c r="E235" s="46">
        <f>E14+E20+E93+E96+E99+E103+E107+E110+E115+E119+E124+E129+E134+E139+E144+E149+E154+E159+E164+E169+E174+E179+E184+E189+E194+E199+E204+E208</f>
        <v>2471870</v>
      </c>
      <c r="F235" s="46">
        <f>F14+F20+F93+F96+F99+F103+F107+F110+F115+F119+F124+F129+F134+F139+F144+F149+F154+F159+F164+F169+F174+F179+F184+F189+F194+F199+F204+F208</f>
        <v>95600</v>
      </c>
      <c r="G235" s="241">
        <f t="shared" ref="G235:G247" si="8">E235+F235</f>
        <v>2567470</v>
      </c>
    </row>
    <row r="236" spans="1:12" ht="24.75" customHeight="1" x14ac:dyDescent="0.25">
      <c r="A236" s="8"/>
      <c r="B236" s="40" t="s">
        <v>85</v>
      </c>
      <c r="C236" s="279" t="s">
        <v>201</v>
      </c>
      <c r="D236" s="279"/>
      <c r="E236" s="46">
        <f>E15+E24+E55+E64+E69+E90+E209</f>
        <v>4971597</v>
      </c>
      <c r="F236" s="46">
        <f>F15+F24+F55+F64+F69+F90+F209</f>
        <v>191700</v>
      </c>
      <c r="G236" s="241">
        <f t="shared" si="8"/>
        <v>5163297</v>
      </c>
    </row>
    <row r="237" spans="1:12" ht="24.75" customHeight="1" x14ac:dyDescent="0.25">
      <c r="A237" s="8"/>
      <c r="B237" s="40" t="s">
        <v>102</v>
      </c>
      <c r="C237" s="284" t="s">
        <v>63</v>
      </c>
      <c r="D237" s="285"/>
      <c r="E237" s="46">
        <f>E39</f>
        <v>2390900</v>
      </c>
      <c r="F237" s="46">
        <f>F39</f>
        <v>0</v>
      </c>
      <c r="G237" s="241">
        <f t="shared" si="8"/>
        <v>2390900</v>
      </c>
      <c r="I237" s="203"/>
    </row>
    <row r="238" spans="1:12" ht="27" customHeight="1" x14ac:dyDescent="0.25">
      <c r="A238" s="8"/>
      <c r="B238" s="40" t="s">
        <v>109</v>
      </c>
      <c r="C238" s="279" t="s">
        <v>59</v>
      </c>
      <c r="D238" s="279"/>
      <c r="E238" s="46">
        <f>E47+E51+E52+E111+E116+E120+E125+E130+E135+E140+E150+E145+E155+E160+E165+E170+E175+E180+E185+E190+E195+E200</f>
        <v>21593899</v>
      </c>
      <c r="F238" s="157">
        <f>F47+F51+F52+F111+F116+F120+F125+F130+F135+F140+F145+F150+F155+F160+F165+F170+F175+F180+F185+F190+F195+F200</f>
        <v>0</v>
      </c>
      <c r="G238" s="241">
        <f>E238+F238</f>
        <v>21593899</v>
      </c>
      <c r="J238" s="79"/>
      <c r="K238" s="79"/>
    </row>
    <row r="239" spans="1:12" ht="25.5" customHeight="1" x14ac:dyDescent="0.25">
      <c r="A239" s="8"/>
      <c r="B239" s="40" t="s">
        <v>110</v>
      </c>
      <c r="C239" s="279" t="s">
        <v>202</v>
      </c>
      <c r="D239" s="279"/>
      <c r="E239" s="46">
        <f>E33+E49+E57+E100+E112+E121+E126+E131+E136+E141+E146+E151+E156+E161+E166+E171+E176+E181+E186+E191+E196+E201+E205+E210</f>
        <v>1827521</v>
      </c>
      <c r="F239" s="46">
        <f>F49+F57+F100+F121+F126+F131+F136+F141+F146+F151+F156+F161+F166+F171+F176+F181+F186+F191+F196+F201+F205+F210+F112+F33+F65</f>
        <v>1431</v>
      </c>
      <c r="G239" s="241">
        <f t="shared" si="8"/>
        <v>1828952</v>
      </c>
    </row>
    <row r="240" spans="1:12" ht="24.75" customHeight="1" x14ac:dyDescent="0.25">
      <c r="A240" s="8"/>
      <c r="B240" s="40" t="s">
        <v>92</v>
      </c>
      <c r="C240" s="284" t="s">
        <v>265</v>
      </c>
      <c r="D240" s="285"/>
      <c r="E240" s="46">
        <f>E17+E25+E32+E48+E56+E212</f>
        <v>545703</v>
      </c>
      <c r="F240" s="46">
        <f>F212</f>
        <v>3763</v>
      </c>
      <c r="G240" s="241">
        <f>E240+F240</f>
        <v>549466</v>
      </c>
    </row>
    <row r="241" spans="1:15" x14ac:dyDescent="0.25">
      <c r="A241" s="8"/>
      <c r="B241" s="40" t="s">
        <v>96</v>
      </c>
      <c r="C241" s="286" t="s">
        <v>203</v>
      </c>
      <c r="D241" s="286"/>
      <c r="E241" s="46">
        <f>E29</f>
        <v>1760000</v>
      </c>
      <c r="F241" s="197"/>
      <c r="G241" s="241">
        <f t="shared" si="8"/>
        <v>1760000</v>
      </c>
    </row>
    <row r="242" spans="1:15" ht="38.25" customHeight="1" x14ac:dyDescent="0.25">
      <c r="A242" s="8"/>
      <c r="B242" s="40" t="s">
        <v>86</v>
      </c>
      <c r="C242" s="279" t="s">
        <v>204</v>
      </c>
      <c r="D242" s="279"/>
      <c r="E242" s="46">
        <f>E16+E26+E34+E50+E58+E104+E211</f>
        <v>3357829</v>
      </c>
      <c r="F242" s="46">
        <f>F211</f>
        <v>14924</v>
      </c>
      <c r="G242" s="241">
        <f t="shared" si="8"/>
        <v>3372753</v>
      </c>
    </row>
    <row r="243" spans="1:15" ht="28.5" customHeight="1" x14ac:dyDescent="0.25">
      <c r="A243" s="8"/>
      <c r="B243" s="40" t="s">
        <v>89</v>
      </c>
      <c r="C243" s="279" t="s">
        <v>205</v>
      </c>
      <c r="D243" s="279"/>
      <c r="E243" s="46">
        <f>E21+E31</f>
        <v>475000</v>
      </c>
      <c r="F243" s="197"/>
      <c r="G243" s="241">
        <f t="shared" si="8"/>
        <v>475000</v>
      </c>
    </row>
    <row r="244" spans="1:15" ht="25.5" customHeight="1" x14ac:dyDescent="0.25">
      <c r="A244" s="8"/>
      <c r="B244" s="40" t="s">
        <v>100</v>
      </c>
      <c r="C244" s="279" t="s">
        <v>206</v>
      </c>
      <c r="D244" s="279"/>
      <c r="E244" s="46">
        <f>E37+E63</f>
        <v>327000</v>
      </c>
      <c r="F244" s="197"/>
      <c r="G244" s="241">
        <f t="shared" si="8"/>
        <v>327000</v>
      </c>
    </row>
    <row r="245" spans="1:15" ht="25.5" customHeight="1" x14ac:dyDescent="0.25">
      <c r="A245" s="8"/>
      <c r="B245" s="40" t="s">
        <v>101</v>
      </c>
      <c r="C245" s="279" t="s">
        <v>207</v>
      </c>
      <c r="D245" s="279"/>
      <c r="E245" s="46">
        <f>E38+E42</f>
        <v>274585</v>
      </c>
      <c r="F245" s="46">
        <f>F38+F42</f>
        <v>0</v>
      </c>
      <c r="G245" s="241">
        <f t="shared" si="8"/>
        <v>274585</v>
      </c>
    </row>
    <row r="246" spans="1:15" ht="39" customHeight="1" thickBot="1" x14ac:dyDescent="0.3">
      <c r="A246" s="8"/>
      <c r="B246" s="41" t="s">
        <v>97</v>
      </c>
      <c r="C246" s="280" t="s">
        <v>208</v>
      </c>
      <c r="D246" s="280"/>
      <c r="E246" s="76">
        <f>E30</f>
        <v>430000</v>
      </c>
      <c r="F246" s="236"/>
      <c r="G246" s="242">
        <f t="shared" si="8"/>
        <v>430000</v>
      </c>
    </row>
    <row r="247" spans="1:15" ht="15.75" thickBot="1" x14ac:dyDescent="0.3">
      <c r="A247" s="8"/>
      <c r="B247" s="281" t="s">
        <v>174</v>
      </c>
      <c r="C247" s="282"/>
      <c r="D247" s="283"/>
      <c r="E247" s="61">
        <f>SUBTOTAL(9,E234:E246)</f>
        <v>89585644</v>
      </c>
      <c r="F247" s="61">
        <f>SUBTOTAL(9,F234:F246)</f>
        <v>314713</v>
      </c>
      <c r="G247" s="243">
        <f t="shared" si="8"/>
        <v>89900357</v>
      </c>
    </row>
    <row r="248" spans="1:15" x14ac:dyDescent="0.25">
      <c r="O248" s="81"/>
    </row>
  </sheetData>
  <mergeCells count="142">
    <mergeCell ref="A8:G8"/>
    <mergeCell ref="A11:A12"/>
    <mergeCell ref="A13:A67"/>
    <mergeCell ref="B13:B66"/>
    <mergeCell ref="C13:C17"/>
    <mergeCell ref="C19:C21"/>
    <mergeCell ref="C23:C26"/>
    <mergeCell ref="C28:C34"/>
    <mergeCell ref="C36:C39"/>
    <mergeCell ref="C41:C42"/>
    <mergeCell ref="A71:A72"/>
    <mergeCell ref="A73:A74"/>
    <mergeCell ref="A75:A76"/>
    <mergeCell ref="A77:A78"/>
    <mergeCell ref="A79:A80"/>
    <mergeCell ref="A81:A82"/>
    <mergeCell ref="C46:C50"/>
    <mergeCell ref="C54:C58"/>
    <mergeCell ref="C62:C65"/>
    <mergeCell ref="A68:A70"/>
    <mergeCell ref="B68:B69"/>
    <mergeCell ref="C68:C69"/>
    <mergeCell ref="A92:A94"/>
    <mergeCell ref="B92:B93"/>
    <mergeCell ref="C92:C93"/>
    <mergeCell ref="A95:A97"/>
    <mergeCell ref="B95:B96"/>
    <mergeCell ref="C95:C96"/>
    <mergeCell ref="A83:A84"/>
    <mergeCell ref="A85:A86"/>
    <mergeCell ref="A87:A88"/>
    <mergeCell ref="A89:A91"/>
    <mergeCell ref="B89:B90"/>
    <mergeCell ref="C89:C90"/>
    <mergeCell ref="A106:A108"/>
    <mergeCell ref="B106:B107"/>
    <mergeCell ref="C106:C107"/>
    <mergeCell ref="A109:A113"/>
    <mergeCell ref="B109:B112"/>
    <mergeCell ref="C109:C112"/>
    <mergeCell ref="A98:A101"/>
    <mergeCell ref="B98:B100"/>
    <mergeCell ref="C98:C100"/>
    <mergeCell ref="A102:A105"/>
    <mergeCell ref="B102:B104"/>
    <mergeCell ref="C102:C104"/>
    <mergeCell ref="A123:A127"/>
    <mergeCell ref="B123:B126"/>
    <mergeCell ref="C123:C126"/>
    <mergeCell ref="A128:A132"/>
    <mergeCell ref="B128:B131"/>
    <mergeCell ref="C128:C131"/>
    <mergeCell ref="A114:A117"/>
    <mergeCell ref="B114:B116"/>
    <mergeCell ref="C114:C116"/>
    <mergeCell ref="A118:A122"/>
    <mergeCell ref="B118:B121"/>
    <mergeCell ref="C118:C121"/>
    <mergeCell ref="A143:A147"/>
    <mergeCell ref="B143:B146"/>
    <mergeCell ref="C143:C146"/>
    <mergeCell ref="A148:A152"/>
    <mergeCell ref="B148:B151"/>
    <mergeCell ref="C148:C151"/>
    <mergeCell ref="A133:A137"/>
    <mergeCell ref="B133:B136"/>
    <mergeCell ref="C133:C136"/>
    <mergeCell ref="A138:A142"/>
    <mergeCell ref="B138:B141"/>
    <mergeCell ref="C138:C141"/>
    <mergeCell ref="A163:A167"/>
    <mergeCell ref="B163:B166"/>
    <mergeCell ref="C163:C166"/>
    <mergeCell ref="A168:A172"/>
    <mergeCell ref="B168:B171"/>
    <mergeCell ref="C168:C171"/>
    <mergeCell ref="A153:A157"/>
    <mergeCell ref="B153:B156"/>
    <mergeCell ref="C153:C156"/>
    <mergeCell ref="A158:A162"/>
    <mergeCell ref="B158:B161"/>
    <mergeCell ref="C158:C161"/>
    <mergeCell ref="A183:A187"/>
    <mergeCell ref="B183:B186"/>
    <mergeCell ref="C183:C186"/>
    <mergeCell ref="A188:A192"/>
    <mergeCell ref="B188:B191"/>
    <mergeCell ref="C188:C191"/>
    <mergeCell ref="A173:A177"/>
    <mergeCell ref="B173:B176"/>
    <mergeCell ref="C173:C176"/>
    <mergeCell ref="A178:A182"/>
    <mergeCell ref="B178:B181"/>
    <mergeCell ref="C178:C181"/>
    <mergeCell ref="E214:E215"/>
    <mergeCell ref="F214:F215"/>
    <mergeCell ref="G214:G215"/>
    <mergeCell ref="A193:A197"/>
    <mergeCell ref="B193:B196"/>
    <mergeCell ref="C193:C196"/>
    <mergeCell ref="A198:A202"/>
    <mergeCell ref="B198:B201"/>
    <mergeCell ref="C198:C201"/>
    <mergeCell ref="A217:C217"/>
    <mergeCell ref="C219:D219"/>
    <mergeCell ref="C220:D220"/>
    <mergeCell ref="C221:D221"/>
    <mergeCell ref="C222:D222"/>
    <mergeCell ref="C223:D223"/>
    <mergeCell ref="A203:A206"/>
    <mergeCell ref="B203:B205"/>
    <mergeCell ref="C203:C205"/>
    <mergeCell ref="A207:A213"/>
    <mergeCell ref="B207:B212"/>
    <mergeCell ref="C207:C212"/>
    <mergeCell ref="A214:A216"/>
    <mergeCell ref="B214:B215"/>
    <mergeCell ref="C214:C215"/>
    <mergeCell ref="D214:D215"/>
    <mergeCell ref="C230:D230"/>
    <mergeCell ref="B231:D231"/>
    <mergeCell ref="C233:D233"/>
    <mergeCell ref="C234:D234"/>
    <mergeCell ref="C235:D235"/>
    <mergeCell ref="C236:D236"/>
    <mergeCell ref="C224:D224"/>
    <mergeCell ref="C225:D225"/>
    <mergeCell ref="C226:D226"/>
    <mergeCell ref="C227:D227"/>
    <mergeCell ref="C228:D228"/>
    <mergeCell ref="C229:D229"/>
    <mergeCell ref="C243:D243"/>
    <mergeCell ref="C244:D244"/>
    <mergeCell ref="C245:D245"/>
    <mergeCell ref="C246:D246"/>
    <mergeCell ref="B247:D247"/>
    <mergeCell ref="C237:D237"/>
    <mergeCell ref="C238:D238"/>
    <mergeCell ref="C239:D239"/>
    <mergeCell ref="C240:D240"/>
    <mergeCell ref="C241:D241"/>
    <mergeCell ref="C242:D242"/>
  </mergeCells>
  <conditionalFormatting sqref="F27 F67 F43 F40 E11:E187 F108 F59 F97 F22 F53:G53 F113 F127 F132 F142 F137 F117 F122 F182 F162 F167 F172 F177 F35 F105 F70 F152 F147 F157 F18 F84 F94 F91 F45 E193:E213 F213 E216:G216 E217:F217">
    <cfRule type="cellIs" dxfId="13" priority="1" stopIfTrue="1" operator="equal">
      <formula>0</formula>
    </cfRule>
  </conditionalFormatting>
  <conditionalFormatting sqref="E41 E111:E112 E120:E121 E160:E161">
    <cfRule type="cellIs" dxfId="12" priority="11" stopIfTrue="1" operator="equal">
      <formula>0</formula>
    </cfRule>
  </conditionalFormatting>
  <conditionalFormatting sqref="E58">
    <cfRule type="cellIs" dxfId="11" priority="10" stopIfTrue="1" operator="equal">
      <formula>0</formula>
    </cfRule>
  </conditionalFormatting>
  <conditionalFormatting sqref="E68:E69">
    <cfRule type="cellIs" dxfId="10" priority="2" stopIfTrue="1" operator="equal">
      <formula>0</formula>
    </cfRule>
  </conditionalFormatting>
  <conditionalFormatting sqref="E71 E73 E75 E77 E79 E81 E83 E85 E87 E89:E90 E92 E95 E98 E100 E102:E104 E106:E107 E109 E128 E130:E131 E133:E134 E138 E140:E141 E143 E145:E146 E148 E150:E151 E153 E155:E156 E158 E163:E164 E168:E171 E173 E175:E176 E178 E180:E181 E183:E184 E193:E196 E198:E199 E203:E205 E207:E212 E11 E13:E17 E234:E246 F239:F240 F245 F242 F234:F237">
    <cfRule type="cellIs" dxfId="9" priority="14" stopIfTrue="1" operator="equal">
      <formula>0</formula>
    </cfRule>
  </conditionalFormatting>
  <conditionalFormatting sqref="E114 E116">
    <cfRule type="cellIs" dxfId="8" priority="7" stopIfTrue="1" operator="equal">
      <formula>0</formula>
    </cfRule>
  </conditionalFormatting>
  <conditionalFormatting sqref="E118">
    <cfRule type="cellIs" dxfId="7" priority="6" stopIfTrue="1" operator="equal">
      <formula>0</formula>
    </cfRule>
  </conditionalFormatting>
  <conditionalFormatting sqref="E123 E125:E126">
    <cfRule type="cellIs" dxfId="6" priority="5" stopIfTrue="1" operator="equal">
      <formula>0</formula>
    </cfRule>
  </conditionalFormatting>
  <conditionalFormatting sqref="E188:E189">
    <cfRule type="cellIs" dxfId="5" priority="4" stopIfTrue="1" operator="equal">
      <formula>0</formula>
    </cfRule>
  </conditionalFormatting>
  <conditionalFormatting sqref="E188:E192 F192">
    <cfRule type="cellIs" dxfId="4" priority="3" stopIfTrue="1" operator="equal">
      <formula>0</formula>
    </cfRule>
  </conditionalFormatting>
  <conditionalFormatting sqref="F206 F187 F197 F202">
    <cfRule type="cellIs" dxfId="3" priority="13" stopIfTrue="1" operator="equal">
      <formula>0</formula>
    </cfRule>
  </conditionalFormatting>
  <conditionalFormatting sqref="E217:F217">
    <cfRule type="cellIs" dxfId="2" priority="12" stopIfTrue="1" operator="equal">
      <formula>0</formula>
    </cfRule>
  </conditionalFormatting>
  <conditionalFormatting sqref="E220:E231 F231 F221:F229">
    <cfRule type="cellIs" dxfId="1" priority="9" stopIfTrue="1" operator="equal">
      <formula>0</formula>
    </cfRule>
  </conditionalFormatting>
  <conditionalFormatting sqref="E247:F247">
    <cfRule type="cellIs" dxfId="0" priority="8" stopIfTrue="1" operator="equal">
      <formula>0</formula>
    </cfRule>
  </conditionalFormatting>
  <pageMargins left="0.7" right="0.7" top="0.75" bottom="0.75" header="0.3" footer="0.3"/>
  <pageSetup paperSize="9" scale="99" fitToHeight="0" orientation="portrait" verticalDpi="0" r:id="rId1"/>
  <rowBreaks count="2" manualBreakCount="2">
    <brk id="163" max="6" man="1"/>
    <brk id="20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priedas'!Print_Area</vt:lpstr>
      <vt:lpstr>'2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2025-11-19T13:00:00Z</cp:lastPrinted>
  <dcterms:created xsi:type="dcterms:W3CDTF">2025-03-26T13:26:14Z</dcterms:created>
  <dcterms:modified xsi:type="dcterms:W3CDTF">2025-11-19T13:01:46Z</dcterms:modified>
</cp:coreProperties>
</file>