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5875" windowHeight="12600" activeTab="2"/>
  </bookViews>
  <sheets>
    <sheet name="1 priedas" sheetId="1" r:id="rId1"/>
    <sheet name="2 priedas" sheetId="3" r:id="rId2"/>
    <sheet name="3 priedas" sheetId="2" r:id="rId3"/>
  </sheets>
  <definedNames>
    <definedName name="_xlnm.Print_Area" localSheetId="0">'1 priedas'!$A$1:$E$48</definedName>
    <definedName name="_xlnm.Print_Area" localSheetId="1">'2 priedas'!$A$1:$L$41</definedName>
  </definedNames>
  <calcPr calcId="145621"/>
</workbook>
</file>

<file path=xl/calcChain.xml><?xml version="1.0" encoding="utf-8"?>
<calcChain xmlns="http://schemas.openxmlformats.org/spreadsheetml/2006/main">
  <c r="F223" i="2" l="1"/>
  <c r="D39" i="3"/>
  <c r="D25" i="1"/>
  <c r="F65" i="2" l="1"/>
  <c r="F233" i="2"/>
  <c r="F229" i="2" l="1"/>
  <c r="F68" i="2"/>
  <c r="F17" i="2"/>
  <c r="F237" i="2" l="1"/>
  <c r="F235" i="2"/>
  <c r="G209" i="2"/>
  <c r="G210" i="2"/>
  <c r="F211" i="2"/>
  <c r="E211" i="2"/>
  <c r="F103" i="2"/>
  <c r="E103" i="2"/>
  <c r="G102" i="2"/>
  <c r="D44" i="1" l="1"/>
  <c r="F34" i="2" l="1"/>
  <c r="F234" i="2"/>
  <c r="G32" i="2"/>
  <c r="F222" i="2" l="1"/>
  <c r="F175" i="2" l="1"/>
  <c r="F170" i="2"/>
  <c r="F165" i="2"/>
  <c r="F160" i="2"/>
  <c r="F180" i="2"/>
  <c r="F120" i="2"/>
  <c r="F115" i="2"/>
  <c r="F135" i="2"/>
  <c r="F140" i="2"/>
  <c r="F130" i="2"/>
  <c r="F125" i="2"/>
  <c r="F111" i="2"/>
  <c r="F52" i="2"/>
  <c r="E52" i="2"/>
  <c r="G51" i="2"/>
  <c r="D18" i="3" l="1"/>
  <c r="F190" i="2" l="1"/>
  <c r="E190" i="2"/>
  <c r="D36" i="3"/>
  <c r="H40" i="3"/>
  <c r="I40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21" i="3"/>
  <c r="L21" i="3"/>
  <c r="D17" i="3"/>
  <c r="K40" i="3" l="1"/>
  <c r="D40" i="3"/>
  <c r="E19" i="3"/>
  <c r="E22" i="3"/>
  <c r="E26" i="3"/>
  <c r="E27" i="3"/>
  <c r="E30" i="3"/>
  <c r="E31" i="3"/>
  <c r="E34" i="3"/>
  <c r="E35" i="3"/>
  <c r="E38" i="3"/>
  <c r="L15" i="3"/>
  <c r="L16" i="3"/>
  <c r="L17" i="3"/>
  <c r="L18" i="3"/>
  <c r="L19" i="3"/>
  <c r="L20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14" i="3"/>
  <c r="C39" i="3"/>
  <c r="E39" i="3" s="1"/>
  <c r="C38" i="3"/>
  <c r="C37" i="3"/>
  <c r="E37" i="3" s="1"/>
  <c r="F36" i="3"/>
  <c r="C36" i="3"/>
  <c r="E36" i="3" s="1"/>
  <c r="C35" i="3"/>
  <c r="C34" i="3"/>
  <c r="C33" i="3"/>
  <c r="E33" i="3" s="1"/>
  <c r="C32" i="3"/>
  <c r="E32" i="3" s="1"/>
  <c r="C31" i="3"/>
  <c r="C30" i="3"/>
  <c r="C29" i="3"/>
  <c r="E29" i="3" s="1"/>
  <c r="C28" i="3"/>
  <c r="E28" i="3" s="1"/>
  <c r="C27" i="3"/>
  <c r="C26" i="3"/>
  <c r="C25" i="3"/>
  <c r="E25" i="3" s="1"/>
  <c r="C24" i="3"/>
  <c r="E24" i="3" s="1"/>
  <c r="F23" i="3"/>
  <c r="C22" i="3"/>
  <c r="J21" i="3"/>
  <c r="J40" i="3" s="1"/>
  <c r="G21" i="3"/>
  <c r="G40" i="3" s="1"/>
  <c r="F21" i="3"/>
  <c r="C20" i="3"/>
  <c r="E20" i="3" s="1"/>
  <c r="C19" i="3"/>
  <c r="C18" i="3"/>
  <c r="E18" i="3" s="1"/>
  <c r="C17" i="3"/>
  <c r="E17" i="3" s="1"/>
  <c r="C16" i="3"/>
  <c r="E16" i="3" s="1"/>
  <c r="C15" i="3"/>
  <c r="E15" i="3" s="1"/>
  <c r="C14" i="3"/>
  <c r="E14" i="3" s="1"/>
  <c r="F13" i="3"/>
  <c r="C13" i="3"/>
  <c r="E13" i="3" s="1"/>
  <c r="L40" i="3" l="1"/>
  <c r="F40" i="3"/>
  <c r="E40" i="3"/>
  <c r="C21" i="3"/>
  <c r="E21" i="3" s="1"/>
  <c r="C23" i="3"/>
  <c r="E23" i="3" s="1"/>
  <c r="C40" i="3"/>
  <c r="F231" i="2" l="1"/>
  <c r="F230" i="2"/>
  <c r="F21" i="2"/>
  <c r="F216" i="2" s="1"/>
  <c r="F95" i="2"/>
  <c r="F58" i="2" l="1"/>
  <c r="F106" i="2"/>
  <c r="F221" i="2" s="1"/>
  <c r="E237" i="2" l="1"/>
  <c r="E160" i="2"/>
  <c r="F240" i="2" l="1"/>
  <c r="E33" i="1" l="1"/>
  <c r="D38" i="1"/>
  <c r="D45" i="1" s="1"/>
  <c r="D48" i="1" s="1"/>
  <c r="C29" i="1"/>
  <c r="F185" i="2" l="1"/>
  <c r="F232" i="2" l="1"/>
  <c r="F39" i="2"/>
  <c r="F218" i="2" l="1"/>
  <c r="F42" i="2"/>
  <c r="F26" i="2" l="1"/>
  <c r="F204" i="2"/>
  <c r="G110" i="2" l="1"/>
  <c r="F212" i="2" l="1"/>
  <c r="F242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9" i="1"/>
  <c r="E40" i="1"/>
  <c r="E41" i="1"/>
  <c r="E42" i="1"/>
  <c r="E43" i="1"/>
  <c r="E46" i="1"/>
  <c r="E47" i="1"/>
  <c r="E11" i="1"/>
  <c r="F226" i="2" l="1"/>
  <c r="G15" i="2"/>
  <c r="G16" i="2"/>
  <c r="G20" i="2"/>
  <c r="G23" i="2"/>
  <c r="G24" i="2"/>
  <c r="G25" i="2"/>
  <c r="G28" i="2"/>
  <c r="G29" i="2"/>
  <c r="G30" i="2"/>
  <c r="G33" i="2"/>
  <c r="G38" i="2"/>
  <c r="G40" i="2"/>
  <c r="G41" i="2"/>
  <c r="G43" i="2"/>
  <c r="G49" i="2"/>
  <c r="G54" i="2"/>
  <c r="G56" i="2"/>
  <c r="G59" i="2"/>
  <c r="G61" i="2"/>
  <c r="G62" i="2"/>
  <c r="G63" i="2"/>
  <c r="G67" i="2"/>
  <c r="G69" i="2"/>
  <c r="G71" i="2"/>
  <c r="G73" i="2"/>
  <c r="G75" i="2"/>
  <c r="G77" i="2"/>
  <c r="G79" i="2"/>
  <c r="G81" i="2"/>
  <c r="G83" i="2"/>
  <c r="G85" i="2"/>
  <c r="G87" i="2"/>
  <c r="G88" i="2"/>
  <c r="G98" i="2"/>
  <c r="G109" i="2"/>
  <c r="G119" i="2"/>
  <c r="G124" i="2"/>
  <c r="G129" i="2"/>
  <c r="G134" i="2"/>
  <c r="G139" i="2"/>
  <c r="G144" i="2"/>
  <c r="G149" i="2"/>
  <c r="G154" i="2"/>
  <c r="G159" i="2"/>
  <c r="G164" i="2"/>
  <c r="G169" i="2"/>
  <c r="G174" i="2"/>
  <c r="G179" i="2"/>
  <c r="G184" i="2"/>
  <c r="G189" i="2"/>
  <c r="G194" i="2"/>
  <c r="G199" i="2"/>
  <c r="G11" i="2" l="1"/>
  <c r="E241" i="2" l="1"/>
  <c r="G241" i="2" s="1"/>
  <c r="E238" i="2"/>
  <c r="G238" i="2" s="1"/>
  <c r="E236" i="2"/>
  <c r="G236" i="2" s="1"/>
  <c r="E232" i="2"/>
  <c r="G232" i="2" s="1"/>
  <c r="E208" i="2"/>
  <c r="G208" i="2" s="1"/>
  <c r="E207" i="2"/>
  <c r="E206" i="2"/>
  <c r="G206" i="2" s="1"/>
  <c r="E205" i="2"/>
  <c r="E203" i="2"/>
  <c r="G203" i="2" s="1"/>
  <c r="E202" i="2"/>
  <c r="G201" i="2"/>
  <c r="E198" i="2"/>
  <c r="G198" i="2" s="1"/>
  <c r="E197" i="2"/>
  <c r="E196" i="2"/>
  <c r="G196" i="2" s="1"/>
  <c r="E193" i="2"/>
  <c r="G193" i="2" s="1"/>
  <c r="E192" i="2"/>
  <c r="E191" i="2"/>
  <c r="G191" i="2" s="1"/>
  <c r="E188" i="2"/>
  <c r="G188" i="2" s="1"/>
  <c r="E187" i="2"/>
  <c r="E186" i="2"/>
  <c r="G186" i="2" s="1"/>
  <c r="E183" i="2"/>
  <c r="G183" i="2" s="1"/>
  <c r="E182" i="2"/>
  <c r="E181" i="2"/>
  <c r="G181" i="2" s="1"/>
  <c r="E178" i="2"/>
  <c r="G178" i="2" s="1"/>
  <c r="E177" i="2"/>
  <c r="E176" i="2"/>
  <c r="G176" i="2" s="1"/>
  <c r="E173" i="2"/>
  <c r="G173" i="2" s="1"/>
  <c r="E172" i="2"/>
  <c r="E171" i="2"/>
  <c r="G171" i="2" s="1"/>
  <c r="E168" i="2"/>
  <c r="G168" i="2" s="1"/>
  <c r="E167" i="2"/>
  <c r="E166" i="2"/>
  <c r="G166" i="2" s="1"/>
  <c r="E163" i="2"/>
  <c r="G163" i="2" s="1"/>
  <c r="E162" i="2"/>
  <c r="E161" i="2"/>
  <c r="G161" i="2" s="1"/>
  <c r="E158" i="2"/>
  <c r="G158" i="2" s="1"/>
  <c r="E157" i="2"/>
  <c r="E156" i="2"/>
  <c r="G156" i="2" s="1"/>
  <c r="E153" i="2"/>
  <c r="G153" i="2" s="1"/>
  <c r="E152" i="2"/>
  <c r="E151" i="2"/>
  <c r="G151" i="2" s="1"/>
  <c r="E148" i="2"/>
  <c r="G148" i="2" s="1"/>
  <c r="E147" i="2"/>
  <c r="E146" i="2"/>
  <c r="G146" i="2" s="1"/>
  <c r="E143" i="2"/>
  <c r="G143" i="2" s="1"/>
  <c r="E142" i="2"/>
  <c r="E141" i="2"/>
  <c r="G141" i="2" s="1"/>
  <c r="E138" i="2"/>
  <c r="G138" i="2" s="1"/>
  <c r="E137" i="2"/>
  <c r="E136" i="2"/>
  <c r="G136" i="2" s="1"/>
  <c r="E133" i="2"/>
  <c r="G133" i="2" s="1"/>
  <c r="E132" i="2"/>
  <c r="E131" i="2"/>
  <c r="G131" i="2" s="1"/>
  <c r="E128" i="2"/>
  <c r="G128" i="2" s="1"/>
  <c r="E127" i="2"/>
  <c r="E126" i="2"/>
  <c r="G126" i="2" s="1"/>
  <c r="E123" i="2"/>
  <c r="G123" i="2" s="1"/>
  <c r="E122" i="2"/>
  <c r="E121" i="2"/>
  <c r="G121" i="2" s="1"/>
  <c r="E118" i="2"/>
  <c r="G118" i="2" s="1"/>
  <c r="E117" i="2"/>
  <c r="E116" i="2"/>
  <c r="E114" i="2"/>
  <c r="G114" i="2" s="1"/>
  <c r="E113" i="2"/>
  <c r="E112" i="2"/>
  <c r="G112" i="2" s="1"/>
  <c r="E108" i="2"/>
  <c r="G108" i="2" s="1"/>
  <c r="E107" i="2"/>
  <c r="E111" i="2" s="1"/>
  <c r="E104" i="2"/>
  <c r="G104" i="2" s="1"/>
  <c r="E101" i="2"/>
  <c r="G101" i="2" s="1"/>
  <c r="E100" i="2"/>
  <c r="G100" i="2" s="1"/>
  <c r="E97" i="2"/>
  <c r="G97" i="2" s="1"/>
  <c r="E96" i="2"/>
  <c r="G96" i="2" s="1"/>
  <c r="G94" i="2"/>
  <c r="E93" i="2"/>
  <c r="E91" i="2"/>
  <c r="G91" i="2" s="1"/>
  <c r="E90" i="2"/>
  <c r="E89" i="2"/>
  <c r="G89" i="2" s="1"/>
  <c r="E86" i="2"/>
  <c r="G86" i="2" s="1"/>
  <c r="E84" i="2"/>
  <c r="G84" i="2" s="1"/>
  <c r="E82" i="2"/>
  <c r="G82" i="2" s="1"/>
  <c r="E80" i="2"/>
  <c r="G80" i="2" s="1"/>
  <c r="E78" i="2"/>
  <c r="G78" i="2" s="1"/>
  <c r="E76" i="2"/>
  <c r="G76" i="2" s="1"/>
  <c r="E74" i="2"/>
  <c r="G74" i="2" s="1"/>
  <c r="E72" i="2"/>
  <c r="G72" i="2" s="1"/>
  <c r="E70" i="2"/>
  <c r="G70" i="2" s="1"/>
  <c r="E66" i="2"/>
  <c r="E64" i="2"/>
  <c r="E60" i="2"/>
  <c r="G55" i="2"/>
  <c r="E53" i="2"/>
  <c r="G53" i="2" s="1"/>
  <c r="E50" i="2"/>
  <c r="G50" i="2" s="1"/>
  <c r="E48" i="2"/>
  <c r="G47" i="2"/>
  <c r="E46" i="2"/>
  <c r="E45" i="2"/>
  <c r="E44" i="2"/>
  <c r="G44" i="2" s="1"/>
  <c r="E42" i="2"/>
  <c r="E37" i="2"/>
  <c r="E36" i="2"/>
  <c r="E35" i="2"/>
  <c r="G35" i="2" s="1"/>
  <c r="E31" i="2"/>
  <c r="G27" i="2"/>
  <c r="E22" i="2"/>
  <c r="E19" i="2"/>
  <c r="G19" i="2" s="1"/>
  <c r="G18" i="2"/>
  <c r="E14" i="2"/>
  <c r="E13" i="2"/>
  <c r="E12" i="2"/>
  <c r="G116" i="2" l="1"/>
  <c r="E120" i="2"/>
  <c r="E39" i="2"/>
  <c r="G37" i="2"/>
  <c r="E220" i="2"/>
  <c r="G220" i="2" s="1"/>
  <c r="G42" i="2"/>
  <c r="E68" i="2"/>
  <c r="G68" i="2" s="1"/>
  <c r="G66" i="2"/>
  <c r="G103" i="2"/>
  <c r="E145" i="2"/>
  <c r="G145" i="2" s="1"/>
  <c r="G142" i="2"/>
  <c r="E165" i="2"/>
  <c r="G165" i="2" s="1"/>
  <c r="G162" i="2"/>
  <c r="E231" i="2"/>
  <c r="G231" i="2" s="1"/>
  <c r="G207" i="2"/>
  <c r="E229" i="2"/>
  <c r="G229" i="2" s="1"/>
  <c r="G13" i="2"/>
  <c r="E234" i="2"/>
  <c r="G234" i="2" s="1"/>
  <c r="G48" i="2"/>
  <c r="E95" i="2"/>
  <c r="G95" i="2" s="1"/>
  <c r="G93" i="2"/>
  <c r="E230" i="2"/>
  <c r="G230" i="2" s="1"/>
  <c r="G14" i="2"/>
  <c r="E26" i="2"/>
  <c r="G22" i="2"/>
  <c r="E239" i="2"/>
  <c r="G239" i="2" s="1"/>
  <c r="G36" i="2"/>
  <c r="G45" i="2"/>
  <c r="E224" i="2"/>
  <c r="G224" i="2" s="1"/>
  <c r="G60" i="2"/>
  <c r="E106" i="2"/>
  <c r="G106" i="2" s="1"/>
  <c r="G105" i="2"/>
  <c r="E115" i="2"/>
  <c r="G115" i="2" s="1"/>
  <c r="G113" i="2"/>
  <c r="E135" i="2"/>
  <c r="G135" i="2" s="1"/>
  <c r="G132" i="2"/>
  <c r="E155" i="2"/>
  <c r="G155" i="2" s="1"/>
  <c r="G152" i="2"/>
  <c r="E175" i="2"/>
  <c r="G175" i="2" s="1"/>
  <c r="G172" i="2"/>
  <c r="E195" i="2"/>
  <c r="G195" i="2" s="1"/>
  <c r="G192" i="2"/>
  <c r="G211" i="2"/>
  <c r="G205" i="2"/>
  <c r="E225" i="2"/>
  <c r="G225" i="2" s="1"/>
  <c r="G64" i="2"/>
  <c r="E92" i="2"/>
  <c r="G92" i="2" s="1"/>
  <c r="G90" i="2"/>
  <c r="G111" i="2"/>
  <c r="G107" i="2"/>
  <c r="E130" i="2"/>
  <c r="G130" i="2" s="1"/>
  <c r="G127" i="2"/>
  <c r="E150" i="2"/>
  <c r="G150" i="2" s="1"/>
  <c r="G147" i="2"/>
  <c r="E170" i="2"/>
  <c r="G170" i="2" s="1"/>
  <c r="G167" i="2"/>
  <c r="G190" i="2"/>
  <c r="G187" i="2"/>
  <c r="E233" i="2"/>
  <c r="G233" i="2" s="1"/>
  <c r="G46" i="2"/>
  <c r="E185" i="2"/>
  <c r="G185" i="2" s="1"/>
  <c r="G182" i="2"/>
  <c r="E204" i="2"/>
  <c r="G204" i="2" s="1"/>
  <c r="G202" i="2"/>
  <c r="G12" i="2"/>
  <c r="E235" i="2"/>
  <c r="G235" i="2" s="1"/>
  <c r="G31" i="2"/>
  <c r="E125" i="2"/>
  <c r="G125" i="2" s="1"/>
  <c r="G122" i="2"/>
  <c r="E21" i="2"/>
  <c r="E58" i="2"/>
  <c r="G58" i="2" s="1"/>
  <c r="G57" i="2"/>
  <c r="E99" i="2"/>
  <c r="G99" i="2" s="1"/>
  <c r="G120" i="2"/>
  <c r="G117" i="2"/>
  <c r="E140" i="2"/>
  <c r="G140" i="2" s="1"/>
  <c r="G137" i="2"/>
  <c r="G160" i="2"/>
  <c r="G157" i="2"/>
  <c r="E180" i="2"/>
  <c r="G180" i="2" s="1"/>
  <c r="G177" i="2"/>
  <c r="E200" i="2"/>
  <c r="G200" i="2" s="1"/>
  <c r="G197" i="2"/>
  <c r="E17" i="2"/>
  <c r="E34" i="2"/>
  <c r="E218" i="2" s="1"/>
  <c r="E240" i="2"/>
  <c r="G240" i="2" s="1"/>
  <c r="G52" i="2" l="1"/>
  <c r="E215" i="2"/>
  <c r="G215" i="2" s="1"/>
  <c r="E222" i="2"/>
  <c r="G222" i="2" s="1"/>
  <c r="E242" i="2"/>
  <c r="G242" i="2" s="1"/>
  <c r="G237" i="2"/>
  <c r="E217" i="2"/>
  <c r="G217" i="2" s="1"/>
  <c r="G26" i="2"/>
  <c r="E223" i="2"/>
  <c r="G223" i="2" s="1"/>
  <c r="G218" i="2"/>
  <c r="G34" i="2"/>
  <c r="E221" i="2"/>
  <c r="G221" i="2" s="1"/>
  <c r="E65" i="2"/>
  <c r="G17" i="2"/>
  <c r="E216" i="2"/>
  <c r="G216" i="2" s="1"/>
  <c r="G21" i="2"/>
  <c r="E219" i="2"/>
  <c r="G219" i="2" s="1"/>
  <c r="G39" i="2"/>
  <c r="E226" i="2" l="1"/>
  <c r="G226" i="2" s="1"/>
  <c r="E212" i="2"/>
  <c r="G212" i="2" s="1"/>
  <c r="G65" i="2"/>
  <c r="C44" i="1"/>
  <c r="E44" i="1" s="1"/>
  <c r="C40" i="1"/>
  <c r="C35" i="1"/>
  <c r="C18" i="1"/>
  <c r="C13" i="1"/>
  <c r="C22" i="1" s="1"/>
  <c r="C38" i="1" s="1"/>
  <c r="C45" i="1" l="1"/>
  <c r="E38" i="1"/>
  <c r="C48" i="1" l="1"/>
  <c r="E48" i="1" s="1"/>
  <c r="E45" i="1"/>
</calcChain>
</file>

<file path=xl/sharedStrings.xml><?xml version="1.0" encoding="utf-8"?>
<sst xmlns="http://schemas.openxmlformats.org/spreadsheetml/2006/main" count="571" uniqueCount="270">
  <si>
    <t>Eil. Nr.</t>
  </si>
  <si>
    <t>Pajamų pavadinimas</t>
  </si>
  <si>
    <t>1.</t>
  </si>
  <si>
    <t>Gyventojų pajamų mokestis</t>
  </si>
  <si>
    <t>2.</t>
  </si>
  <si>
    <t>Gyventojų pajamų mokestis už pajamas, gautas iš veiklos turint verslo liudijimą</t>
  </si>
  <si>
    <t>3.</t>
  </si>
  <si>
    <t>Turto mokesčiai ir nuomos pajamos, iš jų:</t>
  </si>
  <si>
    <t>3.1.</t>
  </si>
  <si>
    <t>Žemės mokestis</t>
  </si>
  <si>
    <t>3.2.</t>
  </si>
  <si>
    <t>Paveldimo turto mokestis</t>
  </si>
  <si>
    <t>3.3.</t>
  </si>
  <si>
    <t>Nekilnojamojo turto mokestis</t>
  </si>
  <si>
    <t>3.4.</t>
  </si>
  <si>
    <t xml:space="preserve">Nuomos mokestis už valstybinę žemę </t>
  </si>
  <si>
    <t>4.</t>
  </si>
  <si>
    <t>Kiti mokesčiai ir pajamos, iš jų:</t>
  </si>
  <si>
    <t>4.1.</t>
  </si>
  <si>
    <t>Valstybės rinkliava</t>
  </si>
  <si>
    <t>4.2.</t>
  </si>
  <si>
    <t>Pajamos iš baudų, konfiskuoto turto ir kitų netesybų</t>
  </si>
  <si>
    <t>4.3.</t>
  </si>
  <si>
    <t>Kitos neišvardintos pajamos</t>
  </si>
  <si>
    <t>5.</t>
  </si>
  <si>
    <t>Iš viso prognozuojamos pajamos (1+2+3+4)</t>
  </si>
  <si>
    <t>6.</t>
  </si>
  <si>
    <t>Vietinės rinkliavos, iš jų:</t>
  </si>
  <si>
    <t>6.1.</t>
  </si>
  <si>
    <t>už komunalinių atliekų tvarkymą</t>
  </si>
  <si>
    <t>7.</t>
  </si>
  <si>
    <t>Savivaldybės biudžetinių įstaigų pajamos, iš jų:</t>
  </si>
  <si>
    <t>7.1.</t>
  </si>
  <si>
    <t>Pajamos už ilgalaikio ir trumpalaikio materialiojo turto nuomą</t>
  </si>
  <si>
    <t>7.2.</t>
  </si>
  <si>
    <t>Įmokos už išlaikymą švietimo, socialinės apsaugos ir kitose įstaigose</t>
  </si>
  <si>
    <t>7.3.</t>
  </si>
  <si>
    <t xml:space="preserve">Pajamos už prekes ir paslaugas </t>
  </si>
  <si>
    <t>8.</t>
  </si>
  <si>
    <t>Savivaldybės aplinkos apsaugos rėmimo programos pajamos, iš jų:</t>
  </si>
  <si>
    <t>8.1.</t>
  </si>
  <si>
    <t xml:space="preserve">Mokestis už aplinkos teršimą </t>
  </si>
  <si>
    <t>8.2.</t>
  </si>
  <si>
    <t>Kiti mokesčiai už valstybinius gamtos išteklius</t>
  </si>
  <si>
    <t>8.3.</t>
  </si>
  <si>
    <t>Mokestis už medžiojamų gyvūnų išteklius</t>
  </si>
  <si>
    <t>9.</t>
  </si>
  <si>
    <t>Angliavandenilių išteklių mokestis</t>
  </si>
  <si>
    <t>10.</t>
  </si>
  <si>
    <t>Materialiojo ir nematerialiojo turto realizavimo pajamos, iš jų:</t>
  </si>
  <si>
    <t>10.1.</t>
  </si>
  <si>
    <t>Žemės realizavimo pajamos</t>
  </si>
  <si>
    <t>10.2.</t>
  </si>
  <si>
    <t>Kitos ilgalaikio turto realizavimo pajamos</t>
  </si>
  <si>
    <t>11.</t>
  </si>
  <si>
    <t xml:space="preserve">Pajamos savarankiškoms funkcijoms vykdyti (5+6+7+8+9+10) </t>
  </si>
  <si>
    <t>12.</t>
  </si>
  <si>
    <t>Speciali tikslinė dotacija valstybinėms (perduotoms savivaldybėms) funkcijoms vykdyti</t>
  </si>
  <si>
    <t>13.</t>
  </si>
  <si>
    <t>Speciali tikslinė dotacija ugdymo reikmėms finansuoti</t>
  </si>
  <si>
    <t>14.</t>
  </si>
  <si>
    <t>Valstybės biudžeto dotacijos nuosavų lėšų daliai finansuoti ir kitos valstybės biudžeto lėšos</t>
  </si>
  <si>
    <t>15.</t>
  </si>
  <si>
    <t>Kelių priežiūros ir plėtros programos finansavimo lėšos</t>
  </si>
  <si>
    <t>16.</t>
  </si>
  <si>
    <t>Europos Sąjungos finansinės paramos lėšos (įskaitant kompensuojamas Europos Sąjungos finansinės paramos lėšas)</t>
  </si>
  <si>
    <t>17.</t>
  </si>
  <si>
    <t>Dotacijos (12+13+14+15+16)</t>
  </si>
  <si>
    <t>18.</t>
  </si>
  <si>
    <t>IŠ VISO 2025 M. PAJAMŲ (11+17)</t>
  </si>
  <si>
    <t>19.</t>
  </si>
  <si>
    <t>Skolintos lėšos investiciniams projektams finansuoti</t>
  </si>
  <si>
    <t>20.</t>
  </si>
  <si>
    <t>Metų pradžios apyvartinių lėšų likutis</t>
  </si>
  <si>
    <t>21.</t>
  </si>
  <si>
    <t>Iš viso (18+19+20)</t>
  </si>
  <si>
    <t xml:space="preserve">Asignavimų valdytojas </t>
  </si>
  <si>
    <t>Programos pavadinimas</t>
  </si>
  <si>
    <t>Šaltinis</t>
  </si>
  <si>
    <t>Kretingos r. sav. kontrolės ir audito tarnyba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</si>
  <si>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</si>
  <si>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</si>
  <si>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</si>
  <si>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</si>
  <si>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</si>
  <si>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D</t>
  </si>
  <si>
    <t>E</t>
  </si>
  <si>
    <t>Viso pagal 01 programą:</t>
  </si>
  <si>
    <t>Seniūnijų programa (02)</t>
  </si>
  <si>
    <t>BP</t>
  </si>
  <si>
    <t>Viso pagal 02 programą:</t>
  </si>
  <si>
    <t>Žemės ūkio programa (03)</t>
  </si>
  <si>
    <t>VA</t>
  </si>
  <si>
    <t xml:space="preserve">E </t>
  </si>
  <si>
    <t>Viso pagal 03 programą:</t>
  </si>
  <si>
    <t>Strateginio planavimo ir investicijų programa (04)</t>
  </si>
  <si>
    <t>P</t>
  </si>
  <si>
    <t>SIP</t>
  </si>
  <si>
    <t>Viso pagal 04 programą:</t>
  </si>
  <si>
    <t>Vietinio ūkio ir turto valdymo programa (05)</t>
  </si>
  <si>
    <t>ZP</t>
  </si>
  <si>
    <t>F</t>
  </si>
  <si>
    <t>KPP</t>
  </si>
  <si>
    <t>Viso pagal 05 programą:</t>
  </si>
  <si>
    <t>Sveikatos apsaugos programa (06)</t>
  </si>
  <si>
    <t>Viso pagal 06 programą:</t>
  </si>
  <si>
    <t>Kultūros programa (07)</t>
  </si>
  <si>
    <t>Viso pagal 07 programą:</t>
  </si>
  <si>
    <t>Švietimo programa (08)</t>
  </si>
  <si>
    <t>K</t>
  </si>
  <si>
    <t>VB</t>
  </si>
  <si>
    <t>Viešoji įstaiga Pranciškonų gimnazija</t>
  </si>
  <si>
    <t>Viso pagal 08 programą:</t>
  </si>
  <si>
    <t>Socialinės paramos programa (09)</t>
  </si>
  <si>
    <t>Viso pagal 09 programą:</t>
  </si>
  <si>
    <t>Kūno kultūros ir sporto programa (10)</t>
  </si>
  <si>
    <t>Viso pagal 10 programą:</t>
  </si>
  <si>
    <t>Architektūros ir teritorijų planavimo programa (11)</t>
  </si>
  <si>
    <t>Viso pagal 11 programą:</t>
  </si>
  <si>
    <t>Kretingos r. sav. Priešgaisrinė tarnyba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</si>
  <si>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</si>
  <si>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</si>
  <si>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</si>
  <si>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miesto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</si>
  <si>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</si>
  <si>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</si>
  <si>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</si>
  <si>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</si>
  <si>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</si>
  <si>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</si>
  <si>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</si>
  <si>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</si>
  <si>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</si>
  <si>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</si>
  <si>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Vyskupo Motiejaus Valančiaus gimtinės muziejus</t>
  </si>
  <si>
    <t>Kretingos r. sav. Jurgio Pabrėžos universitetinė gimnazija</t>
  </si>
  <si>
    <t>Kretingos r. sav. Marijono Daujoto progimnazija</t>
  </si>
  <si>
    <t>Kretingos r. sav. Simono Daukanto progimnazija</t>
  </si>
  <si>
    <t>22.</t>
  </si>
  <si>
    <t>Kretingos r. sav. Salantų gimnazija</t>
  </si>
  <si>
    <t>23.</t>
  </si>
  <si>
    <t>Kretingos r. sav. Darbėnų gimnazija</t>
  </si>
  <si>
    <t>24.</t>
  </si>
  <si>
    <t>Kretingos r. sav. Vydmantų gimnazija</t>
  </si>
  <si>
    <t>25.</t>
  </si>
  <si>
    <t>Kretingos r. sav. Kartenos mokykla-daugiafunkcis centras</t>
  </si>
  <si>
    <t>26.</t>
  </si>
  <si>
    <t>Kretingos r. sav. Jokūbavo Aleksandro Stulginskio mokykla-daugiafunkcis centras</t>
  </si>
  <si>
    <t>27.</t>
  </si>
  <si>
    <t>Kretingos r. sav. Kūlupėnų Motiejaus Valančiaus pagrindinė mokykla</t>
  </si>
  <si>
    <t>28.</t>
  </si>
  <si>
    <t>Kretingos r. sav. Kurmaičių pradinė mokykla</t>
  </si>
  <si>
    <t>29.</t>
  </si>
  <si>
    <t>Kretingos r. sav. Marijos Tiškevičiūtės mokykla</t>
  </si>
  <si>
    <t>30.</t>
  </si>
  <si>
    <t>Kretingos r. sav. lopšelis-darželis "Pasaka"</t>
  </si>
  <si>
    <t>31.</t>
  </si>
  <si>
    <t>Kretingos r. sav. lopšelis-darželis "Ąžuoliukas"</t>
  </si>
  <si>
    <t>32.</t>
  </si>
  <si>
    <t>Kretingos r. sav. lopšelis-darželis "Žilvitis"</t>
  </si>
  <si>
    <t>33.</t>
  </si>
  <si>
    <t>Kretingos r. sav. mokykla-darželis "Žibutė"</t>
  </si>
  <si>
    <t>34.</t>
  </si>
  <si>
    <t>Kretingos r. sav. Kretingos rajono švietimo centras</t>
  </si>
  <si>
    <t>36.</t>
  </si>
  <si>
    <t>Kretingos r. sav. Kretingos sporto mokykla</t>
  </si>
  <si>
    <t>37.</t>
  </si>
  <si>
    <t>Kretingos r. sav. Kretingos meno mokykla</t>
  </si>
  <si>
    <t>38.</t>
  </si>
  <si>
    <t>Kretingos r. sav. Salantų meno mokykla</t>
  </si>
  <si>
    <t>39.</t>
  </si>
  <si>
    <t>Kretingos r. sav. Dienos veiklos centras</t>
  </si>
  <si>
    <t>40.</t>
  </si>
  <si>
    <t>Kretingos r. sav. Kretingos socialinių paslaugų centras</t>
  </si>
  <si>
    <t>IŠ VISO:</t>
  </si>
  <si>
    <t>Programa</t>
  </si>
  <si>
    <t>Pavadinimas</t>
  </si>
  <si>
    <t>2025 m. asignavimai, eurais</t>
  </si>
  <si>
    <t>01</t>
  </si>
  <si>
    <t>Bendroji programa</t>
  </si>
  <si>
    <t>02</t>
  </si>
  <si>
    <t>Seniūnijų programa</t>
  </si>
  <si>
    <t>03</t>
  </si>
  <si>
    <t>Žemės ūkio programa</t>
  </si>
  <si>
    <t>04</t>
  </si>
  <si>
    <t>Strateginio planavimo ir investicijų programa</t>
  </si>
  <si>
    <t>05</t>
  </si>
  <si>
    <t>Vietinio ūkio ir turto valdymo programa</t>
  </si>
  <si>
    <t>06</t>
  </si>
  <si>
    <t>Sveikatos apsaugos programa</t>
  </si>
  <si>
    <t>07</t>
  </si>
  <si>
    <t>Kultūros programa</t>
  </si>
  <si>
    <t>08</t>
  </si>
  <si>
    <t>Švietimo programa</t>
  </si>
  <si>
    <t>09</t>
  </si>
  <si>
    <t>Socialinės paramos programa</t>
  </si>
  <si>
    <t>Kūno kultūros ir sporto programa</t>
  </si>
  <si>
    <t>Architektūros ir teritorijų planavimo programa</t>
  </si>
  <si>
    <t>Finansavimo šaltinis</t>
  </si>
  <si>
    <t>Savarankiškoms funkcijoms atlikti (savivaldybės biudžeto lėšos)</t>
  </si>
  <si>
    <t>Įstaigos pajamos, skirtos veiklos išlaidoms</t>
  </si>
  <si>
    <t>Valstybinėms (perduotoms savivaldybėms) funkcijoms atlikti skirtos lėšos</t>
  </si>
  <si>
    <t>Valstybės biudžeto lėšos, dotacijos ir kitos lėšos</t>
  </si>
  <si>
    <t>Skolintos lėšos</t>
  </si>
  <si>
    <t xml:space="preserve">Europos Sąjungos ir kitos finansinės paramos lėšos (Europos Sąjungos finansinės paramos lėšos) </t>
  </si>
  <si>
    <t>Savarankiškoms funkcijoms atlikti (socialinio būsto plėtros fondo lėšos)</t>
  </si>
  <si>
    <t>Savarankiškoms funkcijoms atlikti (žemės pardavimo lėšos)</t>
  </si>
  <si>
    <t>Aplinkos apsaugos rėmimo specialiosios programos lėšos</t>
  </si>
  <si>
    <t>Infrastruktūros įmokos, skirtos inžinerinei infrastruktūrai finansuoti ir kompensacijoms mokėti</t>
  </si>
  <si>
    <t>Keitimas</t>
  </si>
  <si>
    <t>Projektas</t>
  </si>
  <si>
    <t>Patvirtinta</t>
  </si>
  <si>
    <t>(eurais)</t>
  </si>
  <si>
    <t xml:space="preserve">        2025 metų Kretingos rajono savivaldybės biudžeto asignavimų paskirstymas</t>
  </si>
  <si>
    <t xml:space="preserve">                                                                 Projekto lyginamasis variantas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</si>
  <si>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</si>
  <si>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</si>
  <si>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3 priedas</t>
  </si>
  <si>
    <t xml:space="preserve">                                                           2025 m. vasario 20 d. sprendimu Nr. T2-34</t>
  </si>
  <si>
    <t xml:space="preserve">                                                                  2025 m. vasario 20 d. sprendimu Nr. T2-34</t>
  </si>
  <si>
    <t>8.4.</t>
  </si>
  <si>
    <t>Įstaigos pavadinimas</t>
  </si>
  <si>
    <t>Pajamos iš viso</t>
  </si>
  <si>
    <t>iš jų,</t>
  </si>
  <si>
    <t>pajamos už ilgalaikio ir trumpalaikio materialiojo turto nuomą (kodas 10)</t>
  </si>
  <si>
    <t>įmokos už išlaikymą švietimo, socialinės apsaugos ir kitose įstaigose (kodas 12)</t>
  </si>
  <si>
    <t>Kretingos rajono savivaldybės administracija</t>
  </si>
  <si>
    <t>Kretingos rajono kultūros centras</t>
  </si>
  <si>
    <t>Salantų kultūros centras</t>
  </si>
  <si>
    <t>Kretingos M. Valančiaus viešoji biblioteka</t>
  </si>
  <si>
    <t>Vyskupo M. Valančiaus gimtinės muziejus</t>
  </si>
  <si>
    <t>Kretingos muziejus</t>
  </si>
  <si>
    <t>J. Pabrėžos universitetinė gimnazija</t>
  </si>
  <si>
    <t>M. Daujoto progimnazija</t>
  </si>
  <si>
    <t xml:space="preserve">S. Daukanto progimnazija        </t>
  </si>
  <si>
    <t xml:space="preserve">Darbėnų gimnazija                  </t>
  </si>
  <si>
    <t xml:space="preserve">Salantų gimnazija               </t>
  </si>
  <si>
    <t>Vydmantų gimnazija</t>
  </si>
  <si>
    <t xml:space="preserve">Kūlupėnų M. Valančiaus pagrindinė mokykla       </t>
  </si>
  <si>
    <t xml:space="preserve">Kurmaičių pradinė mokykla               </t>
  </si>
  <si>
    <t>Kartenos mokykla-daugiafunkcis centras</t>
  </si>
  <si>
    <t xml:space="preserve">Jokūbavo A. Stulginskio mokykla-daugiafunkcis centras        </t>
  </si>
  <si>
    <t>Marijos Tiškevičiūtės mokykla</t>
  </si>
  <si>
    <t>Lopšelis-darželis "Pasaka"</t>
  </si>
  <si>
    <t>Mokykla-darželis "Žibutė"</t>
  </si>
  <si>
    <t>Lopšelis-darželis "Ąžuoliukas"</t>
  </si>
  <si>
    <t>Lopšelis-darželis "Žilvitis"</t>
  </si>
  <si>
    <t>Kretingos meno mokykla</t>
  </si>
  <si>
    <t>Salantų meno mokykla</t>
  </si>
  <si>
    <t xml:space="preserve">Kretingos sporto mokykla </t>
  </si>
  <si>
    <t>Kretingos rajono švietimo centras</t>
  </si>
  <si>
    <t>Dienos veiklos centras</t>
  </si>
  <si>
    <t>Kretingos socialinių paslaugų centras</t>
  </si>
  <si>
    <t>Iš viso:</t>
  </si>
  <si>
    <t>pajamos už prekes ir paslaugas (kodas 14)</t>
  </si>
  <si>
    <t xml:space="preserve">                                                                    2 priedas</t>
  </si>
  <si>
    <t xml:space="preserve">                                                                    (Kretingos rajono savivaldybės tarybos</t>
  </si>
  <si>
    <t xml:space="preserve">                                                                    2025 m. vasario 20 d. sprendimu Nr. T2-34</t>
  </si>
  <si>
    <t xml:space="preserve">                                                                    Kretingos rajono savivaldybės tarybos</t>
  </si>
  <si>
    <t xml:space="preserve">                                                                                          Projekto lyginamasis variantas</t>
  </si>
  <si>
    <t xml:space="preserve">              Kretingos rajono savivaldybės biudžetinių įstaigų 2025 m. pajamos</t>
  </si>
  <si>
    <t xml:space="preserve">      Projekto lyginamasis variantas</t>
  </si>
  <si>
    <t xml:space="preserve">                            Kretingos rajono savivaldybės 2025 m. biudžeto pajamos</t>
  </si>
  <si>
    <t xml:space="preserve">                                                      1 priedas</t>
  </si>
  <si>
    <t xml:space="preserve">                                                                                2025 m. rugpjūčio   d. sprendimo Nr. T2-  redakcija)</t>
  </si>
  <si>
    <t xml:space="preserve">                                                           2025 m. rugpjūčio   d. sprendimo Nr. T2-   redakcija)</t>
  </si>
  <si>
    <t>Klaipėdos Ernesto Galvanausko profesinio mokymo centras</t>
  </si>
  <si>
    <t>V</t>
  </si>
  <si>
    <t>Valstybės biudžeto lėšos (projektams vykdyti)</t>
  </si>
  <si>
    <t xml:space="preserve">                                                                    2025 m. rugpjūčio    d. sprendimo Nr. T2-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</si>
</sst>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9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9" fillId="0" borderId="0"/>
    <xf numFmtId="0" fontId="16" fillId="0" borderId="0" applyNumberFormat="0"/>
    <xf numFmtId="0" fontId="17" fillId="0" borderId="0"/>
  </cellStyleXfs>
  <cellXfs count="260">
    <xf numFmtId="0" fontId="0" fillId="0" borderId="0" xfId="0"/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left" vertical="center" wrapText="1"/>
    </xf>
    <xf numFmtId="0" fontId="8" fillId="0" borderId="14" xfId="1" applyFont="1" applyFill="1" applyBorder="1" applyAlignment="1" applyProtection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1" applyFont="1" applyFill="1" applyBorder="1" applyAlignment="1" applyProtection="1">
      <alignment horizontal="left" vertical="center" wrapText="1"/>
    </xf>
    <xf numFmtId="0" fontId="8" fillId="0" borderId="18" xfId="1" applyFont="1" applyFill="1" applyBorder="1" applyAlignment="1" applyProtection="1">
      <alignment horizontal="left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23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8" fillId="0" borderId="26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3" fontId="8" fillId="0" borderId="34" xfId="0" applyNumberFormat="1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8" fillId="0" borderId="36" xfId="0" applyNumberFormat="1" applyFont="1" applyBorder="1" applyAlignment="1">
      <alignment horizontal="center" vertical="center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 wrapText="1"/>
    </xf>
    <xf numFmtId="3" fontId="5" fillId="0" borderId="32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center" vertical="center"/>
    </xf>
    <xf numFmtId="3" fontId="5" fillId="0" borderId="39" xfId="0" applyNumberFormat="1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 wrapText="1"/>
    </xf>
    <xf numFmtId="3" fontId="8" fillId="0" borderId="4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15" xfId="0" applyFont="1" applyBorder="1" applyAlignment="1">
      <alignment vertical="center" wrapText="1"/>
    </xf>
    <xf numFmtId="0" fontId="5" fillId="0" borderId="4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3" fontId="8" fillId="0" borderId="40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" fontId="11" fillId="0" borderId="46" xfId="0" applyNumberFormat="1" applyFont="1" applyBorder="1" applyAlignment="1">
      <alignment horizontal="center" vertical="center"/>
    </xf>
    <xf numFmtId="3" fontId="11" fillId="0" borderId="47" xfId="0" applyNumberFormat="1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center" vertical="center"/>
    </xf>
    <xf numFmtId="3" fontId="5" fillId="0" borderId="38" xfId="0" applyNumberFormat="1" applyFont="1" applyBorder="1" applyAlignment="1">
      <alignment horizontal="center" vertical="center" wrapText="1"/>
    </xf>
    <xf numFmtId="3" fontId="5" fillId="0" borderId="39" xfId="0" applyNumberFormat="1" applyFont="1" applyBorder="1" applyAlignment="1">
      <alignment horizontal="center" vertical="center" wrapText="1"/>
    </xf>
    <xf numFmtId="3" fontId="8" fillId="0" borderId="13" xfId="0" applyNumberFormat="1" applyFont="1" applyBorder="1" applyAlignment="1">
      <alignment horizontal="center" vertical="center"/>
    </xf>
    <xf numFmtId="0" fontId="12" fillId="0" borderId="0" xfId="0" applyFont="1"/>
    <xf numFmtId="3" fontId="0" fillId="0" borderId="0" xfId="0" applyNumberFormat="1"/>
    <xf numFmtId="49" fontId="5" fillId="0" borderId="12" xfId="0" applyNumberFormat="1" applyFont="1" applyBorder="1" applyAlignment="1">
      <alignment horizontal="center" vertical="top" wrapText="1"/>
    </xf>
    <xf numFmtId="0" fontId="14" fillId="0" borderId="0" xfId="0" applyFont="1"/>
    <xf numFmtId="0" fontId="7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Font="1"/>
    <xf numFmtId="0" fontId="2" fillId="0" borderId="0" xfId="0" applyFont="1" applyAlignment="1">
      <alignment horizontal="right" vertical="top" wrapText="1"/>
    </xf>
    <xf numFmtId="0" fontId="12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3" fontId="11" fillId="0" borderId="24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3" fontId="8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164" fontId="5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5" fillId="0" borderId="26" xfId="0" applyFont="1" applyBorder="1" applyAlignment="1">
      <alignment wrapText="1"/>
    </xf>
    <xf numFmtId="0" fontId="5" fillId="0" borderId="26" xfId="0" applyFont="1" applyBorder="1"/>
    <xf numFmtId="0" fontId="5" fillId="3" borderId="26" xfId="4" applyFont="1" applyFill="1" applyBorder="1" applyAlignment="1">
      <alignment wrapText="1"/>
    </xf>
    <xf numFmtId="0" fontId="5" fillId="3" borderId="26" xfId="4" applyFont="1" applyFill="1" applyBorder="1" applyAlignment="1">
      <alignment vertical="top" wrapText="1"/>
    </xf>
    <xf numFmtId="0" fontId="8" fillId="0" borderId="24" xfId="0" applyFont="1" applyBorder="1" applyAlignment="1">
      <alignment vertical="center" wrapText="1"/>
    </xf>
    <xf numFmtId="0" fontId="5" fillId="3" borderId="26" xfId="4" applyFont="1" applyFill="1" applyBorder="1" applyAlignment="1"/>
    <xf numFmtId="0" fontId="8" fillId="0" borderId="0" xfId="0" applyFont="1" applyAlignment="1"/>
    <xf numFmtId="0" fontId="5" fillId="0" borderId="0" xfId="0" applyFont="1" applyAlignment="1">
      <alignment horizontal="right" vertical="top" wrapText="1"/>
    </xf>
    <xf numFmtId="0" fontId="18" fillId="0" borderId="0" xfId="0" applyFont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49" fontId="5" fillId="0" borderId="23" xfId="0" applyNumberFormat="1" applyFont="1" applyBorder="1" applyAlignment="1">
      <alignment horizontal="center" vertical="top" wrapText="1"/>
    </xf>
    <xf numFmtId="0" fontId="5" fillId="0" borderId="24" xfId="0" applyFont="1" applyBorder="1" applyAlignment="1">
      <alignment horizontal="left" vertical="top" wrapText="1"/>
    </xf>
    <xf numFmtId="3" fontId="5" fillId="0" borderId="2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center" vertical="center" wrapText="1"/>
    </xf>
    <xf numFmtId="49" fontId="5" fillId="3" borderId="12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49" fontId="5" fillId="0" borderId="25" xfId="0" applyNumberFormat="1" applyFont="1" applyBorder="1" applyAlignment="1">
      <alignment horizontal="center" vertical="top" wrapText="1"/>
    </xf>
    <xf numFmtId="0" fontId="5" fillId="0" borderId="29" xfId="0" applyFont="1" applyBorder="1" applyAlignment="1">
      <alignment horizontal="left" vertical="top" wrapText="1"/>
    </xf>
    <xf numFmtId="3" fontId="5" fillId="0" borderId="29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top" wrapText="1"/>
    </xf>
    <xf numFmtId="0" fontId="8" fillId="0" borderId="22" xfId="0" applyFont="1" applyBorder="1" applyAlignment="1">
      <alignment horizontal="left" vertical="top" wrapText="1"/>
    </xf>
    <xf numFmtId="3" fontId="8" fillId="0" borderId="22" xfId="0" applyNumberFormat="1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 applyAlignment="1"/>
    <xf numFmtId="16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left" wrapText="1"/>
    </xf>
    <xf numFmtId="3" fontId="5" fillId="0" borderId="2" xfId="0" applyNumberFormat="1" applyFont="1" applyBorder="1" applyAlignment="1">
      <alignment horizontal="center" vertical="center"/>
    </xf>
    <xf numFmtId="3" fontId="5" fillId="4" borderId="26" xfId="0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5" fillId="4" borderId="26" xfId="3" applyNumberFormat="1" applyFont="1" applyFill="1" applyBorder="1" applyAlignment="1">
      <alignment horizontal="center" vertical="center"/>
    </xf>
    <xf numFmtId="0" fontId="8" fillId="0" borderId="4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8" fillId="0" borderId="34" xfId="0" applyFont="1" applyBorder="1"/>
    <xf numFmtId="3" fontId="8" fillId="0" borderId="14" xfId="0" applyNumberFormat="1" applyFont="1" applyBorder="1" applyAlignment="1">
      <alignment horizontal="center" vertical="center"/>
    </xf>
    <xf numFmtId="3" fontId="8" fillId="0" borderId="48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/>
    </xf>
    <xf numFmtId="3" fontId="8" fillId="0" borderId="46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5" fillId="4" borderId="37" xfId="3" applyNumberFormat="1" applyFont="1" applyFill="1" applyBorder="1" applyAlignment="1">
      <alignment horizontal="center" vertical="center"/>
    </xf>
    <xf numFmtId="3" fontId="5" fillId="4" borderId="37" xfId="0" applyNumberFormat="1" applyFont="1" applyFill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3" fontId="5" fillId="0" borderId="50" xfId="0" applyNumberFormat="1" applyFont="1" applyBorder="1" applyAlignment="1">
      <alignment horizontal="center" vertical="center"/>
    </xf>
    <xf numFmtId="3" fontId="5" fillId="4" borderId="50" xfId="0" applyNumberFormat="1" applyFont="1" applyFill="1" applyBorder="1" applyAlignment="1">
      <alignment horizontal="center" vertical="center"/>
    </xf>
    <xf numFmtId="3" fontId="5" fillId="4" borderId="46" xfId="0" applyNumberFormat="1" applyFont="1" applyFill="1" applyBorder="1" applyAlignment="1">
      <alignment horizontal="center" vertical="center"/>
    </xf>
    <xf numFmtId="3" fontId="5" fillId="4" borderId="50" xfId="3" applyNumberFormat="1" applyFont="1" applyFill="1" applyBorder="1" applyAlignment="1">
      <alignment horizontal="center" vertical="center"/>
    </xf>
    <xf numFmtId="3" fontId="8" fillId="0" borderId="51" xfId="0" applyNumberFormat="1" applyFont="1" applyBorder="1" applyAlignment="1">
      <alignment horizontal="center" vertical="center"/>
    </xf>
    <xf numFmtId="3" fontId="5" fillId="4" borderId="12" xfId="3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top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quotePrefix="1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9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4" borderId="52" xfId="3" applyFont="1" applyFill="1" applyBorder="1" applyAlignment="1">
      <alignment horizontal="center" vertical="center" wrapText="1"/>
    </xf>
    <xf numFmtId="0" fontId="8" fillId="4" borderId="35" xfId="3" applyFont="1" applyFill="1" applyBorder="1" applyAlignment="1">
      <alignment horizontal="center" vertical="center" wrapText="1"/>
    </xf>
    <xf numFmtId="0" fontId="8" fillId="4" borderId="41" xfId="3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5" fillId="0" borderId="24" xfId="0" quotePrefix="1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9" xfId="0" quotePrefix="1" applyFont="1" applyBorder="1" applyAlignment="1">
      <alignment horizontal="left" vertical="center" wrapText="1"/>
    </xf>
    <xf numFmtId="0" fontId="8" fillId="0" borderId="30" xfId="0" applyFont="1" applyBorder="1" applyAlignment="1">
      <alignment horizontal="right" vertical="center"/>
    </xf>
    <xf numFmtId="0" fontId="5" fillId="0" borderId="24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top" wrapText="1"/>
    </xf>
    <xf numFmtId="0" fontId="8" fillId="0" borderId="3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0" fontId="8" fillId="0" borderId="30" xfId="0" applyFont="1" applyBorder="1" applyAlignment="1">
      <alignment horizontal="right" vertical="center" wrapText="1"/>
    </xf>
    <xf numFmtId="0" fontId="5" fillId="0" borderId="26" xfId="2" applyFont="1" applyBorder="1" applyAlignment="1">
      <alignment horizontal="left" vertical="center" wrapText="1"/>
    </xf>
    <xf numFmtId="0" fontId="5" fillId="0" borderId="27" xfId="2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5">
    <cellStyle name="Įprastas" xfId="0" builtinId="0"/>
    <cellStyle name="Įprastas 2" xfId="2"/>
    <cellStyle name="Įvestis" xfId="1" builtinId="20"/>
    <cellStyle name="Normal_Sheet1" xfId="3"/>
    <cellStyle name="Paprastas 2" xfId="4"/>
  </cellStyles>
  <dxfs count="28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19" zoomScaleNormal="100" workbookViewId="0">
      <selection activeCell="D26" sqref="D26"/>
    </sheetView>
  </sheetViews>
  <sheetFormatPr defaultRowHeight="15" x14ac:dyDescent="0.25"/>
  <cols>
    <col min="1" max="1" width="6.5703125" customWidth="1"/>
    <col min="2" max="2" width="50.140625" customWidth="1"/>
    <col min="3" max="3" width="12.5703125" customWidth="1"/>
    <col min="4" max="4" width="11" customWidth="1"/>
    <col min="5" max="5" width="10.28515625" customWidth="1"/>
  </cols>
  <sheetData>
    <row r="1" spans="1:11" ht="18.75" customHeight="1" x14ac:dyDescent="0.25">
      <c r="A1" s="1"/>
      <c r="B1" s="165"/>
      <c r="C1" s="166" t="s">
        <v>261</v>
      </c>
      <c r="D1" s="166"/>
      <c r="E1" s="166"/>
      <c r="F1" s="95"/>
      <c r="G1" s="95"/>
    </row>
    <row r="2" spans="1:11" ht="17.25" customHeight="1" x14ac:dyDescent="0.25">
      <c r="A2" s="1"/>
      <c r="B2" s="198" t="s">
        <v>215</v>
      </c>
      <c r="C2" s="198"/>
      <c r="D2" s="198"/>
      <c r="E2" s="198"/>
      <c r="F2" s="93"/>
      <c r="G2" s="93"/>
    </row>
    <row r="3" spans="1:11" x14ac:dyDescent="0.25">
      <c r="A3" s="1"/>
      <c r="B3" s="198" t="s">
        <v>219</v>
      </c>
      <c r="C3" s="198"/>
      <c r="D3" s="198"/>
      <c r="E3" s="198"/>
      <c r="F3" s="93"/>
      <c r="G3" s="93"/>
    </row>
    <row r="4" spans="1:11" x14ac:dyDescent="0.25">
      <c r="A4" s="1"/>
      <c r="B4" s="198" t="s">
        <v>216</v>
      </c>
      <c r="C4" s="198"/>
      <c r="D4" s="198"/>
      <c r="E4" s="198"/>
      <c r="F4" s="93"/>
      <c r="G4" s="93"/>
    </row>
    <row r="5" spans="1:11" x14ac:dyDescent="0.25">
      <c r="A5" s="1"/>
      <c r="B5" s="198" t="s">
        <v>264</v>
      </c>
      <c r="C5" s="198"/>
      <c r="D5" s="198"/>
      <c r="E5" s="198"/>
      <c r="F5" s="93"/>
      <c r="G5" s="93"/>
    </row>
    <row r="6" spans="1:11" x14ac:dyDescent="0.25">
      <c r="A6" s="1"/>
      <c r="B6" s="198" t="s">
        <v>263</v>
      </c>
      <c r="C6" s="198"/>
      <c r="D6" s="165"/>
      <c r="E6" s="165"/>
      <c r="F6" s="93"/>
      <c r="G6" s="93"/>
    </row>
    <row r="7" spans="1:11" x14ac:dyDescent="0.25">
      <c r="A7" s="3"/>
      <c r="B7" s="167"/>
      <c r="C7" s="168"/>
      <c r="D7" s="165"/>
      <c r="E7" s="165"/>
    </row>
    <row r="8" spans="1:11" ht="15.75" customHeight="1" x14ac:dyDescent="0.25">
      <c r="A8" s="199" t="s">
        <v>262</v>
      </c>
      <c r="B8" s="199"/>
      <c r="C8" s="199"/>
      <c r="D8" s="199"/>
    </row>
    <row r="9" spans="1:11" ht="19.5" thickBot="1" x14ac:dyDescent="0.35">
      <c r="A9" s="3"/>
      <c r="B9" s="6"/>
      <c r="C9" s="7"/>
      <c r="E9" s="63" t="s">
        <v>212</v>
      </c>
    </row>
    <row r="10" spans="1:11" ht="15.75" thickBot="1" x14ac:dyDescent="0.3">
      <c r="A10" s="146" t="s">
        <v>0</v>
      </c>
      <c r="B10" s="145" t="s">
        <v>1</v>
      </c>
      <c r="C10" s="145" t="s">
        <v>211</v>
      </c>
      <c r="D10" s="147" t="s">
        <v>209</v>
      </c>
      <c r="E10" s="148" t="s">
        <v>210</v>
      </c>
    </row>
    <row r="11" spans="1:11" x14ac:dyDescent="0.25">
      <c r="A11" s="149" t="s">
        <v>2</v>
      </c>
      <c r="B11" s="150" t="s">
        <v>3</v>
      </c>
      <c r="C11" s="151">
        <v>41059000</v>
      </c>
      <c r="D11" s="70"/>
      <c r="E11" s="71">
        <f>C11+D11</f>
        <v>41059000</v>
      </c>
    </row>
    <row r="12" spans="1:11" ht="24" x14ac:dyDescent="0.25">
      <c r="A12" s="90" t="s">
        <v>4</v>
      </c>
      <c r="B12" s="152" t="s">
        <v>5</v>
      </c>
      <c r="C12" s="153">
        <v>45000</v>
      </c>
      <c r="D12" s="73"/>
      <c r="E12" s="82">
        <f t="shared" ref="E12:E48" si="0">C12+D12</f>
        <v>45000</v>
      </c>
    </row>
    <row r="13" spans="1:11" x14ac:dyDescent="0.25">
      <c r="A13" s="90" t="s">
        <v>6</v>
      </c>
      <c r="B13" s="152" t="s">
        <v>7</v>
      </c>
      <c r="C13" s="153">
        <f>C14+C15+C16+C17</f>
        <v>2290000</v>
      </c>
      <c r="D13" s="73"/>
      <c r="E13" s="82">
        <f t="shared" si="0"/>
        <v>2290000</v>
      </c>
    </row>
    <row r="14" spans="1:11" x14ac:dyDescent="0.25">
      <c r="A14" s="90" t="s">
        <v>8</v>
      </c>
      <c r="B14" s="152" t="s">
        <v>9</v>
      </c>
      <c r="C14" s="153">
        <v>830000</v>
      </c>
      <c r="D14" s="73"/>
      <c r="E14" s="82">
        <f t="shared" si="0"/>
        <v>830000</v>
      </c>
    </row>
    <row r="15" spans="1:11" x14ac:dyDescent="0.25">
      <c r="A15" s="90" t="s">
        <v>10</v>
      </c>
      <c r="B15" s="152" t="s">
        <v>11</v>
      </c>
      <c r="C15" s="153">
        <v>10000</v>
      </c>
      <c r="D15" s="73"/>
      <c r="E15" s="82">
        <f t="shared" si="0"/>
        <v>10000</v>
      </c>
    </row>
    <row r="16" spans="1:11" x14ac:dyDescent="0.25">
      <c r="A16" s="90" t="s">
        <v>12</v>
      </c>
      <c r="B16" s="152" t="s">
        <v>13</v>
      </c>
      <c r="C16" s="153">
        <v>1300000</v>
      </c>
      <c r="D16" s="73"/>
      <c r="E16" s="82">
        <f t="shared" si="0"/>
        <v>1300000</v>
      </c>
      <c r="K16" s="91"/>
    </row>
    <row r="17" spans="1:5" x14ac:dyDescent="0.25">
      <c r="A17" s="90" t="s">
        <v>14</v>
      </c>
      <c r="B17" s="152" t="s">
        <v>15</v>
      </c>
      <c r="C17" s="153">
        <v>150000</v>
      </c>
      <c r="D17" s="73"/>
      <c r="E17" s="82">
        <f t="shared" si="0"/>
        <v>150000</v>
      </c>
    </row>
    <row r="18" spans="1:5" x14ac:dyDescent="0.25">
      <c r="A18" s="90" t="s">
        <v>16</v>
      </c>
      <c r="B18" s="152" t="s">
        <v>17</v>
      </c>
      <c r="C18" s="153">
        <f>C19+C20+C21</f>
        <v>110000</v>
      </c>
      <c r="D18" s="73"/>
      <c r="E18" s="82">
        <f t="shared" si="0"/>
        <v>110000</v>
      </c>
    </row>
    <row r="19" spans="1:5" x14ac:dyDescent="0.25">
      <c r="A19" s="90" t="s">
        <v>18</v>
      </c>
      <c r="B19" s="152" t="s">
        <v>19</v>
      </c>
      <c r="C19" s="153">
        <v>50000</v>
      </c>
      <c r="D19" s="73"/>
      <c r="E19" s="82">
        <f t="shared" si="0"/>
        <v>50000</v>
      </c>
    </row>
    <row r="20" spans="1:5" x14ac:dyDescent="0.25">
      <c r="A20" s="90" t="s">
        <v>20</v>
      </c>
      <c r="B20" s="152" t="s">
        <v>21</v>
      </c>
      <c r="C20" s="153">
        <v>40000</v>
      </c>
      <c r="D20" s="73"/>
      <c r="E20" s="82">
        <f t="shared" si="0"/>
        <v>40000</v>
      </c>
    </row>
    <row r="21" spans="1:5" x14ac:dyDescent="0.25">
      <c r="A21" s="90" t="s">
        <v>22</v>
      </c>
      <c r="B21" s="152" t="s">
        <v>23</v>
      </c>
      <c r="C21" s="153">
        <v>20000</v>
      </c>
      <c r="D21" s="73"/>
      <c r="E21" s="82">
        <f t="shared" si="0"/>
        <v>20000</v>
      </c>
    </row>
    <row r="22" spans="1:5" x14ac:dyDescent="0.25">
      <c r="A22" s="90" t="s">
        <v>24</v>
      </c>
      <c r="B22" s="152" t="s">
        <v>25</v>
      </c>
      <c r="C22" s="153">
        <f>C11+C12+C13+C18</f>
        <v>43504000</v>
      </c>
      <c r="D22" s="73"/>
      <c r="E22" s="82">
        <f t="shared" si="0"/>
        <v>43504000</v>
      </c>
    </row>
    <row r="23" spans="1:5" x14ac:dyDescent="0.25">
      <c r="A23" s="90" t="s">
        <v>26</v>
      </c>
      <c r="B23" s="152" t="s">
        <v>27</v>
      </c>
      <c r="C23" s="153">
        <v>2230000</v>
      </c>
      <c r="D23" s="73"/>
      <c r="E23" s="82">
        <f t="shared" si="0"/>
        <v>2230000</v>
      </c>
    </row>
    <row r="24" spans="1:5" x14ac:dyDescent="0.25">
      <c r="A24" s="90" t="s">
        <v>28</v>
      </c>
      <c r="B24" s="152" t="s">
        <v>29</v>
      </c>
      <c r="C24" s="153">
        <v>2200000</v>
      </c>
      <c r="D24" s="73"/>
      <c r="E24" s="82">
        <f t="shared" si="0"/>
        <v>2200000</v>
      </c>
    </row>
    <row r="25" spans="1:5" x14ac:dyDescent="0.25">
      <c r="A25" s="90" t="s">
        <v>30</v>
      </c>
      <c r="B25" s="152" t="s">
        <v>31</v>
      </c>
      <c r="C25" s="154">
        <v>2054500</v>
      </c>
      <c r="D25" s="154">
        <f>D27+D28</f>
        <v>20300</v>
      </c>
      <c r="E25" s="82">
        <f t="shared" si="0"/>
        <v>2074800</v>
      </c>
    </row>
    <row r="26" spans="1:5" x14ac:dyDescent="0.25">
      <c r="A26" s="90" t="s">
        <v>32</v>
      </c>
      <c r="B26" s="152" t="s">
        <v>33</v>
      </c>
      <c r="C26" s="153">
        <v>218500</v>
      </c>
      <c r="D26" s="73"/>
      <c r="E26" s="82">
        <f t="shared" si="0"/>
        <v>218500</v>
      </c>
    </row>
    <row r="27" spans="1:5" x14ac:dyDescent="0.25">
      <c r="A27" s="90" t="s">
        <v>34</v>
      </c>
      <c r="B27" s="152" t="s">
        <v>35</v>
      </c>
      <c r="C27" s="153">
        <v>751000</v>
      </c>
      <c r="D27" s="101">
        <v>10300</v>
      </c>
      <c r="E27" s="82">
        <f t="shared" si="0"/>
        <v>761300</v>
      </c>
    </row>
    <row r="28" spans="1:5" x14ac:dyDescent="0.25">
      <c r="A28" s="90" t="s">
        <v>36</v>
      </c>
      <c r="B28" s="152" t="s">
        <v>37</v>
      </c>
      <c r="C28" s="153">
        <v>1085000</v>
      </c>
      <c r="D28" s="101">
        <v>10000</v>
      </c>
      <c r="E28" s="82">
        <f t="shared" si="0"/>
        <v>1095000</v>
      </c>
    </row>
    <row r="29" spans="1:5" x14ac:dyDescent="0.25">
      <c r="A29" s="90" t="s">
        <v>38</v>
      </c>
      <c r="B29" s="152" t="s">
        <v>39</v>
      </c>
      <c r="C29" s="153">
        <f>C30+C31+C32+C33</f>
        <v>152907</v>
      </c>
      <c r="D29" s="153"/>
      <c r="E29" s="82">
        <f t="shared" si="0"/>
        <v>152907</v>
      </c>
    </row>
    <row r="30" spans="1:5" x14ac:dyDescent="0.25">
      <c r="A30" s="90" t="s">
        <v>40</v>
      </c>
      <c r="B30" s="152" t="s">
        <v>41</v>
      </c>
      <c r="C30" s="153">
        <v>92000</v>
      </c>
      <c r="D30" s="73"/>
      <c r="E30" s="82">
        <f t="shared" si="0"/>
        <v>92000</v>
      </c>
    </row>
    <row r="31" spans="1:5" x14ac:dyDescent="0.25">
      <c r="A31" s="90" t="s">
        <v>42</v>
      </c>
      <c r="B31" s="152" t="s">
        <v>43</v>
      </c>
      <c r="C31" s="153">
        <v>30000</v>
      </c>
      <c r="D31" s="73"/>
      <c r="E31" s="82">
        <f t="shared" si="0"/>
        <v>30000</v>
      </c>
    </row>
    <row r="32" spans="1:5" x14ac:dyDescent="0.25">
      <c r="A32" s="90" t="s">
        <v>44</v>
      </c>
      <c r="B32" s="152" t="s">
        <v>45</v>
      </c>
      <c r="C32" s="153">
        <v>30000</v>
      </c>
      <c r="D32" s="73"/>
      <c r="E32" s="82">
        <f t="shared" si="0"/>
        <v>30000</v>
      </c>
    </row>
    <row r="33" spans="1:12" x14ac:dyDescent="0.25">
      <c r="A33" s="90" t="s">
        <v>220</v>
      </c>
      <c r="B33" s="152" t="s">
        <v>23</v>
      </c>
      <c r="C33" s="153">
        <v>907</v>
      </c>
      <c r="D33" s="73"/>
      <c r="E33" s="82">
        <f t="shared" si="0"/>
        <v>907</v>
      </c>
    </row>
    <row r="34" spans="1:12" x14ac:dyDescent="0.25">
      <c r="A34" s="90" t="s">
        <v>46</v>
      </c>
      <c r="B34" s="152" t="s">
        <v>47</v>
      </c>
      <c r="C34" s="153">
        <v>79000</v>
      </c>
      <c r="D34" s="73"/>
      <c r="E34" s="82">
        <f t="shared" si="0"/>
        <v>79000</v>
      </c>
    </row>
    <row r="35" spans="1:12" x14ac:dyDescent="0.25">
      <c r="A35" s="90" t="s">
        <v>48</v>
      </c>
      <c r="B35" s="152" t="s">
        <v>49</v>
      </c>
      <c r="C35" s="153">
        <f>C36+C37</f>
        <v>226000</v>
      </c>
      <c r="D35" s="73"/>
      <c r="E35" s="82">
        <f t="shared" si="0"/>
        <v>226000</v>
      </c>
    </row>
    <row r="36" spans="1:12" x14ac:dyDescent="0.25">
      <c r="A36" s="90" t="s">
        <v>50</v>
      </c>
      <c r="B36" s="152" t="s">
        <v>51</v>
      </c>
      <c r="C36" s="153">
        <v>126000</v>
      </c>
      <c r="D36" s="73"/>
      <c r="E36" s="82">
        <f t="shared" si="0"/>
        <v>126000</v>
      </c>
    </row>
    <row r="37" spans="1:12" x14ac:dyDescent="0.25">
      <c r="A37" s="90" t="s">
        <v>52</v>
      </c>
      <c r="B37" s="152" t="s">
        <v>53</v>
      </c>
      <c r="C37" s="153">
        <v>100000</v>
      </c>
      <c r="D37" s="73"/>
      <c r="E37" s="82">
        <f t="shared" si="0"/>
        <v>100000</v>
      </c>
    </row>
    <row r="38" spans="1:12" x14ac:dyDescent="0.25">
      <c r="A38" s="90" t="s">
        <v>54</v>
      </c>
      <c r="B38" s="152" t="s">
        <v>55</v>
      </c>
      <c r="C38" s="154">
        <f>C22+C23+C25+C29+C34+C35</f>
        <v>48246407</v>
      </c>
      <c r="D38" s="154">
        <f>D22+D23+D25+D29+D34+D35</f>
        <v>20300</v>
      </c>
      <c r="E38" s="82">
        <f t="shared" si="0"/>
        <v>48266707</v>
      </c>
    </row>
    <row r="39" spans="1:12" ht="24" x14ac:dyDescent="0.25">
      <c r="A39" s="90" t="s">
        <v>56</v>
      </c>
      <c r="B39" s="152" t="s">
        <v>57</v>
      </c>
      <c r="C39" s="155">
        <v>4906997</v>
      </c>
      <c r="D39" s="101">
        <v>-92300</v>
      </c>
      <c r="E39" s="82">
        <f t="shared" si="0"/>
        <v>4814697</v>
      </c>
    </row>
    <row r="40" spans="1:12" x14ac:dyDescent="0.25">
      <c r="A40" s="90" t="s">
        <v>58</v>
      </c>
      <c r="B40" s="152" t="s">
        <v>59</v>
      </c>
      <c r="C40" s="156">
        <f>20897500+80100</f>
        <v>20977600</v>
      </c>
      <c r="D40" s="73"/>
      <c r="E40" s="82">
        <f t="shared" si="0"/>
        <v>20977600</v>
      </c>
    </row>
    <row r="41" spans="1:12" ht="24" x14ac:dyDescent="0.25">
      <c r="A41" s="157" t="s">
        <v>60</v>
      </c>
      <c r="B41" s="158" t="s">
        <v>61</v>
      </c>
      <c r="C41" s="156">
        <v>2376962</v>
      </c>
      <c r="D41" s="101">
        <v>39417</v>
      </c>
      <c r="E41" s="82">
        <f t="shared" si="0"/>
        <v>2416379</v>
      </c>
      <c r="F41" s="104"/>
      <c r="G41" s="104"/>
      <c r="H41" s="104"/>
      <c r="I41" s="96"/>
      <c r="J41" s="96"/>
      <c r="K41" s="97"/>
      <c r="L41" s="97"/>
    </row>
    <row r="42" spans="1:12" ht="17.25" customHeight="1" x14ac:dyDescent="0.25">
      <c r="A42" s="90" t="s">
        <v>62</v>
      </c>
      <c r="B42" s="152" t="s">
        <v>63</v>
      </c>
      <c r="C42" s="154">
        <v>2390900</v>
      </c>
      <c r="D42" s="101"/>
      <c r="E42" s="82">
        <f t="shared" si="0"/>
        <v>2390900</v>
      </c>
      <c r="F42" s="98"/>
      <c r="G42" s="98"/>
      <c r="H42" s="98"/>
      <c r="I42" s="98"/>
      <c r="J42" s="98"/>
      <c r="K42" s="98"/>
      <c r="L42" s="98"/>
    </row>
    <row r="43" spans="1:12" ht="24" x14ac:dyDescent="0.25">
      <c r="A43" s="90" t="s">
        <v>64</v>
      </c>
      <c r="B43" s="152" t="s">
        <v>65</v>
      </c>
      <c r="C43" s="154">
        <v>3145503</v>
      </c>
      <c r="D43" s="101">
        <v>27666</v>
      </c>
      <c r="E43" s="82">
        <f t="shared" si="0"/>
        <v>3173169</v>
      </c>
      <c r="F43" s="104"/>
      <c r="G43" s="104"/>
      <c r="H43" s="98"/>
      <c r="I43" s="98"/>
      <c r="J43" s="99"/>
      <c r="K43" s="98"/>
      <c r="L43" s="98"/>
    </row>
    <row r="44" spans="1:12" x14ac:dyDescent="0.25">
      <c r="A44" s="90" t="s">
        <v>66</v>
      </c>
      <c r="B44" s="152" t="s">
        <v>67</v>
      </c>
      <c r="C44" s="153">
        <f>C39+C40+C41+C42+C43</f>
        <v>33797962</v>
      </c>
      <c r="D44" s="153">
        <f>D39+D40+D41+D42+D43</f>
        <v>-25217</v>
      </c>
      <c r="E44" s="82">
        <f t="shared" si="0"/>
        <v>33772745</v>
      </c>
    </row>
    <row r="45" spans="1:12" x14ac:dyDescent="0.25">
      <c r="A45" s="90" t="s">
        <v>68</v>
      </c>
      <c r="B45" s="152" t="s">
        <v>69</v>
      </c>
      <c r="C45" s="154">
        <f>C38+C44</f>
        <v>82044369</v>
      </c>
      <c r="D45" s="154">
        <f>D38+D44</f>
        <v>-4917</v>
      </c>
      <c r="E45" s="82">
        <f t="shared" si="0"/>
        <v>82039452</v>
      </c>
    </row>
    <row r="46" spans="1:12" x14ac:dyDescent="0.25">
      <c r="A46" s="90" t="s">
        <v>70</v>
      </c>
      <c r="B46" s="152" t="s">
        <v>71</v>
      </c>
      <c r="C46" s="153">
        <v>1760000</v>
      </c>
      <c r="D46" s="73"/>
      <c r="E46" s="82">
        <f t="shared" si="0"/>
        <v>1760000</v>
      </c>
    </row>
    <row r="47" spans="1:12" ht="15.75" thickBot="1" x14ac:dyDescent="0.3">
      <c r="A47" s="159" t="s">
        <v>72</v>
      </c>
      <c r="B47" s="160" t="s">
        <v>73</v>
      </c>
      <c r="C47" s="161">
        <v>4756888</v>
      </c>
      <c r="D47" s="75"/>
      <c r="E47" s="83">
        <f t="shared" si="0"/>
        <v>4756888</v>
      </c>
    </row>
    <row r="48" spans="1:12" ht="15.75" thickBot="1" x14ac:dyDescent="0.3">
      <c r="A48" s="162" t="s">
        <v>74</v>
      </c>
      <c r="B48" s="163" t="s">
        <v>75</v>
      </c>
      <c r="C48" s="164">
        <f>C45+C46+C47</f>
        <v>88561257</v>
      </c>
      <c r="D48" s="164">
        <f>D45+D46+D47</f>
        <v>-4917</v>
      </c>
      <c r="E48" s="79">
        <f t="shared" si="0"/>
        <v>88556340</v>
      </c>
    </row>
    <row r="51" spans="2:2" x14ac:dyDescent="0.25">
      <c r="B51" s="88"/>
    </row>
  </sheetData>
  <mergeCells count="6">
    <mergeCell ref="B6:C6"/>
    <mergeCell ref="A8:D8"/>
    <mergeCell ref="B2:E2"/>
    <mergeCell ref="B3:E3"/>
    <mergeCell ref="B4:E4"/>
    <mergeCell ref="B5:E5"/>
  </mergeCells>
  <pageMargins left="0.7" right="0.7" top="0.75" bottom="0.75" header="0.3" footer="0.3"/>
  <pageSetup paperSize="9" scale="9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37"/>
  <sheetViews>
    <sheetView topLeftCell="A31" zoomScaleNormal="100" workbookViewId="0">
      <selection activeCell="G50" sqref="G50"/>
    </sheetView>
  </sheetViews>
  <sheetFormatPr defaultRowHeight="15" x14ac:dyDescent="0.25"/>
  <cols>
    <col min="1" max="1" width="4" customWidth="1"/>
    <col min="2" max="2" width="14.5703125" customWidth="1"/>
    <col min="3" max="3" width="8.140625" customWidth="1"/>
    <col min="4" max="4" width="7.7109375" customWidth="1"/>
    <col min="5" max="5" width="8.7109375" customWidth="1"/>
    <col min="6" max="6" width="10.7109375" customWidth="1"/>
    <col min="7" max="7" width="9" customWidth="1"/>
    <col min="8" max="9" width="8.28515625" customWidth="1"/>
    <col min="10" max="10" width="8.7109375" customWidth="1"/>
    <col min="11" max="11" width="7.7109375" customWidth="1"/>
    <col min="12" max="12" width="8" customWidth="1"/>
  </cols>
  <sheetData>
    <row r="1" spans="1:18" ht="17.25" customHeight="1" x14ac:dyDescent="0.25">
      <c r="A1" s="8"/>
      <c r="C1" s="138" t="s">
        <v>259</v>
      </c>
      <c r="D1" s="138"/>
      <c r="E1" s="138"/>
      <c r="F1" s="138"/>
      <c r="G1" s="138"/>
      <c r="H1" s="138"/>
      <c r="I1" s="138"/>
      <c r="J1" s="139"/>
      <c r="K1" s="139"/>
      <c r="L1" s="140"/>
    </row>
    <row r="2" spans="1:18" ht="14.25" customHeight="1" x14ac:dyDescent="0.25">
      <c r="A2" s="8"/>
      <c r="B2" s="4" t="s">
        <v>258</v>
      </c>
      <c r="C2" s="141"/>
      <c r="D2" s="141"/>
      <c r="E2" s="141"/>
      <c r="F2" s="140"/>
      <c r="G2" s="140"/>
      <c r="H2" s="140"/>
      <c r="I2" s="140"/>
      <c r="J2" s="142"/>
      <c r="K2" s="142"/>
      <c r="L2" s="140"/>
    </row>
    <row r="3" spans="1:18" ht="15.75" customHeight="1" x14ac:dyDescent="0.25">
      <c r="A3" s="8"/>
      <c r="B3" s="4" t="s">
        <v>257</v>
      </c>
      <c r="C3" s="141"/>
      <c r="D3" s="141"/>
      <c r="E3" s="141"/>
      <c r="F3" s="140"/>
      <c r="G3" s="140"/>
      <c r="H3" s="140"/>
      <c r="I3" s="140"/>
      <c r="J3" s="142"/>
      <c r="K3" s="142"/>
      <c r="L3" s="140"/>
    </row>
    <row r="4" spans="1:18" ht="15.75" customHeight="1" x14ac:dyDescent="0.25">
      <c r="A4" s="8"/>
      <c r="B4" s="4" t="s">
        <v>256</v>
      </c>
      <c r="C4" s="141"/>
      <c r="D4" s="141"/>
      <c r="E4" s="141"/>
      <c r="F4" s="140"/>
      <c r="G4" s="140"/>
      <c r="H4" s="140"/>
      <c r="I4" s="140"/>
      <c r="J4" s="142"/>
      <c r="K4" s="142"/>
      <c r="L4" s="140"/>
    </row>
    <row r="5" spans="1:18" ht="15.75" customHeight="1" x14ac:dyDescent="0.25">
      <c r="A5" s="8"/>
      <c r="B5" s="4" t="s">
        <v>269</v>
      </c>
      <c r="C5" s="141"/>
      <c r="D5" s="141"/>
      <c r="E5" s="141"/>
      <c r="F5" s="140"/>
      <c r="G5" s="140"/>
      <c r="H5" s="140"/>
      <c r="I5" s="140"/>
      <c r="J5" s="142"/>
      <c r="K5" s="142"/>
      <c r="L5" s="140"/>
    </row>
    <row r="6" spans="1:18" ht="15.75" customHeight="1" x14ac:dyDescent="0.25">
      <c r="A6" s="8"/>
      <c r="B6" s="4" t="s">
        <v>255</v>
      </c>
      <c r="C6" s="141"/>
      <c r="D6" s="141"/>
      <c r="E6" s="141"/>
      <c r="F6" s="140"/>
      <c r="G6" s="140"/>
      <c r="H6" s="140"/>
      <c r="I6" s="140"/>
      <c r="J6" s="142"/>
      <c r="K6" s="142"/>
      <c r="L6" s="140"/>
    </row>
    <row r="7" spans="1:18" ht="15.75" customHeight="1" x14ac:dyDescent="0.25">
      <c r="A7" s="8"/>
      <c r="B7" s="9"/>
      <c r="C7" s="9"/>
      <c r="D7" s="9"/>
      <c r="E7" s="9"/>
      <c r="F7" s="143"/>
      <c r="G7" s="143"/>
      <c r="H7" s="143"/>
      <c r="I7" s="143"/>
      <c r="J7" s="140"/>
      <c r="K7" s="140"/>
      <c r="L7" s="140"/>
    </row>
    <row r="8" spans="1:18" ht="15.75" customHeight="1" x14ac:dyDescent="0.25">
      <c r="A8" s="199" t="s">
        <v>260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</row>
    <row r="9" spans="1:18" ht="15.75" thickBot="1" x14ac:dyDescent="0.3">
      <c r="A9" s="8"/>
      <c r="B9" s="11"/>
      <c r="C9" s="11"/>
      <c r="D9" s="11"/>
      <c r="E9" s="11"/>
      <c r="F9" s="10"/>
      <c r="G9" s="9"/>
      <c r="H9" s="9"/>
      <c r="I9" s="9"/>
      <c r="K9" s="63"/>
      <c r="L9" s="144" t="s">
        <v>212</v>
      </c>
    </row>
    <row r="10" spans="1:18" ht="16.5" customHeight="1" thickBot="1" x14ac:dyDescent="0.3">
      <c r="A10" s="219" t="s">
        <v>0</v>
      </c>
      <c r="B10" s="221" t="s">
        <v>221</v>
      </c>
      <c r="C10" s="223" t="s">
        <v>222</v>
      </c>
      <c r="D10" s="209" t="s">
        <v>209</v>
      </c>
      <c r="E10" s="211" t="s">
        <v>210</v>
      </c>
      <c r="F10" s="213" t="s">
        <v>223</v>
      </c>
      <c r="G10" s="214"/>
      <c r="H10" s="214"/>
      <c r="I10" s="214"/>
      <c r="J10" s="214"/>
      <c r="K10" s="214"/>
      <c r="L10" s="215"/>
      <c r="M10" s="107"/>
      <c r="N10" s="107"/>
      <c r="O10" s="107"/>
      <c r="P10" s="107"/>
      <c r="Q10" s="107"/>
      <c r="R10" s="107"/>
    </row>
    <row r="11" spans="1:18" ht="39.75" customHeight="1" x14ac:dyDescent="0.25">
      <c r="A11" s="220"/>
      <c r="B11" s="222"/>
      <c r="C11" s="224"/>
      <c r="D11" s="210"/>
      <c r="E11" s="212"/>
      <c r="F11" s="225" t="s">
        <v>224</v>
      </c>
      <c r="G11" s="227" t="s">
        <v>225</v>
      </c>
      <c r="H11" s="228"/>
      <c r="I11" s="229"/>
      <c r="J11" s="216" t="s">
        <v>254</v>
      </c>
      <c r="K11" s="217"/>
      <c r="L11" s="218"/>
      <c r="M11" s="107"/>
      <c r="N11" s="107"/>
      <c r="O11" s="107"/>
      <c r="P11" s="107"/>
      <c r="Q11" s="107"/>
      <c r="R11" s="107"/>
    </row>
    <row r="12" spans="1:18" ht="82.5" customHeight="1" x14ac:dyDescent="0.25">
      <c r="A12" s="220"/>
      <c r="B12" s="222"/>
      <c r="C12" s="224"/>
      <c r="D12" s="210"/>
      <c r="E12" s="212"/>
      <c r="F12" s="226"/>
      <c r="G12" s="191" t="s">
        <v>211</v>
      </c>
      <c r="H12" s="136" t="s">
        <v>209</v>
      </c>
      <c r="I12" s="173" t="s">
        <v>210</v>
      </c>
      <c r="J12" s="191" t="s">
        <v>211</v>
      </c>
      <c r="K12" s="136" t="s">
        <v>209</v>
      </c>
      <c r="L12" s="173" t="s">
        <v>210</v>
      </c>
      <c r="M12" s="107"/>
      <c r="N12" s="107"/>
      <c r="O12" s="107"/>
      <c r="P12" s="107"/>
      <c r="Q12" s="107"/>
      <c r="R12" s="107"/>
    </row>
    <row r="13" spans="1:18" ht="36.75" x14ac:dyDescent="0.25">
      <c r="A13" s="174" t="s">
        <v>2</v>
      </c>
      <c r="B13" s="132" t="s">
        <v>226</v>
      </c>
      <c r="C13" s="186">
        <f>F13+J13</f>
        <v>82800</v>
      </c>
      <c r="D13" s="169"/>
      <c r="E13" s="187">
        <f>C13+D13</f>
        <v>82800</v>
      </c>
      <c r="F13" s="189">
        <f>10800+72000</f>
        <v>82800</v>
      </c>
      <c r="G13" s="192"/>
      <c r="H13" s="48"/>
      <c r="I13" s="187"/>
      <c r="J13" s="186"/>
      <c r="K13" s="101"/>
      <c r="L13" s="175"/>
      <c r="M13" s="107"/>
      <c r="N13" s="107"/>
      <c r="O13" s="107"/>
      <c r="P13" s="107"/>
      <c r="Q13" s="107"/>
      <c r="R13" s="107"/>
    </row>
    <row r="14" spans="1:18" ht="24.75" x14ac:dyDescent="0.25">
      <c r="A14" s="174" t="s">
        <v>4</v>
      </c>
      <c r="B14" s="132" t="s">
        <v>227</v>
      </c>
      <c r="C14" s="186">
        <f t="shared" ref="C14:C40" si="0">F14+G14+J14</f>
        <v>77000</v>
      </c>
      <c r="D14" s="169"/>
      <c r="E14" s="187">
        <f t="shared" ref="E14:E40" si="1">C14+D14</f>
        <v>77000</v>
      </c>
      <c r="F14" s="189">
        <v>27000</v>
      </c>
      <c r="G14" s="192"/>
      <c r="H14" s="48"/>
      <c r="I14" s="187"/>
      <c r="J14" s="186">
        <v>50000</v>
      </c>
      <c r="K14" s="101"/>
      <c r="L14" s="82">
        <f>J14+K14</f>
        <v>50000</v>
      </c>
      <c r="M14" s="107"/>
      <c r="N14" s="107"/>
      <c r="O14" s="107"/>
      <c r="P14" s="107"/>
      <c r="Q14" s="107"/>
      <c r="R14" s="107"/>
    </row>
    <row r="15" spans="1:18" ht="24.75" x14ac:dyDescent="0.25">
      <c r="A15" s="174" t="s">
        <v>6</v>
      </c>
      <c r="B15" s="132" t="s">
        <v>228</v>
      </c>
      <c r="C15" s="186">
        <f t="shared" si="0"/>
        <v>9900</v>
      </c>
      <c r="D15" s="169"/>
      <c r="E15" s="187">
        <f t="shared" si="1"/>
        <v>9900</v>
      </c>
      <c r="F15" s="189"/>
      <c r="G15" s="192"/>
      <c r="H15" s="48"/>
      <c r="I15" s="187"/>
      <c r="J15" s="186">
        <v>9900</v>
      </c>
      <c r="K15" s="101"/>
      <c r="L15" s="82">
        <f t="shared" ref="L15:L40" si="2">J15+K15</f>
        <v>9900</v>
      </c>
      <c r="M15" s="107"/>
      <c r="N15" s="107"/>
      <c r="O15" s="107"/>
      <c r="P15" s="107"/>
      <c r="Q15" s="107"/>
      <c r="R15" s="107"/>
    </row>
    <row r="16" spans="1:18" ht="36.75" x14ac:dyDescent="0.25">
      <c r="A16" s="174" t="s">
        <v>16</v>
      </c>
      <c r="B16" s="132" t="s">
        <v>229</v>
      </c>
      <c r="C16" s="186">
        <f t="shared" si="0"/>
        <v>19000</v>
      </c>
      <c r="D16" s="169"/>
      <c r="E16" s="187">
        <f t="shared" si="1"/>
        <v>19000</v>
      </c>
      <c r="F16" s="189">
        <v>12000</v>
      </c>
      <c r="G16" s="192"/>
      <c r="H16" s="48"/>
      <c r="I16" s="187"/>
      <c r="J16" s="186">
        <v>7000</v>
      </c>
      <c r="K16" s="101"/>
      <c r="L16" s="82">
        <f t="shared" si="2"/>
        <v>7000</v>
      </c>
      <c r="M16" s="107"/>
      <c r="N16" s="107"/>
      <c r="O16" s="107"/>
      <c r="P16" s="107"/>
      <c r="Q16" s="107"/>
      <c r="R16" s="107"/>
    </row>
    <row r="17" spans="1:18" ht="36.75" x14ac:dyDescent="0.25">
      <c r="A17" s="174" t="s">
        <v>24</v>
      </c>
      <c r="B17" s="132" t="s">
        <v>230</v>
      </c>
      <c r="C17" s="186">
        <f t="shared" si="0"/>
        <v>3900</v>
      </c>
      <c r="D17" s="169">
        <f>K17</f>
        <v>-1800</v>
      </c>
      <c r="E17" s="187">
        <f t="shared" si="1"/>
        <v>2100</v>
      </c>
      <c r="F17" s="189"/>
      <c r="G17" s="192"/>
      <c r="H17" s="48"/>
      <c r="I17" s="187"/>
      <c r="J17" s="186">
        <v>3900</v>
      </c>
      <c r="K17" s="101">
        <v>-1800</v>
      </c>
      <c r="L17" s="82">
        <f t="shared" si="2"/>
        <v>2100</v>
      </c>
      <c r="M17" s="107"/>
      <c r="N17" s="107"/>
      <c r="O17" s="107"/>
      <c r="P17" s="107"/>
      <c r="Q17" s="107"/>
      <c r="R17" s="107"/>
    </row>
    <row r="18" spans="1:18" x14ac:dyDescent="0.25">
      <c r="A18" s="174" t="s">
        <v>26</v>
      </c>
      <c r="B18" s="133" t="s">
        <v>231</v>
      </c>
      <c r="C18" s="186">
        <f t="shared" si="0"/>
        <v>330000</v>
      </c>
      <c r="D18" s="169">
        <f>K18</f>
        <v>1800</v>
      </c>
      <c r="E18" s="187">
        <f t="shared" si="1"/>
        <v>331800</v>
      </c>
      <c r="F18" s="189">
        <v>9000</v>
      </c>
      <c r="G18" s="192"/>
      <c r="H18" s="48"/>
      <c r="I18" s="187"/>
      <c r="J18" s="186">
        <v>321000</v>
      </c>
      <c r="K18" s="101">
        <v>1800</v>
      </c>
      <c r="L18" s="82">
        <f t="shared" si="2"/>
        <v>322800</v>
      </c>
      <c r="M18" s="107"/>
      <c r="N18" s="107"/>
      <c r="O18" s="107"/>
      <c r="P18" s="107"/>
      <c r="Q18" s="107"/>
      <c r="R18" s="107"/>
    </row>
    <row r="19" spans="1:18" ht="36.75" x14ac:dyDescent="0.25">
      <c r="A19" s="174" t="s">
        <v>30</v>
      </c>
      <c r="B19" s="134" t="s">
        <v>232</v>
      </c>
      <c r="C19" s="186">
        <f t="shared" si="0"/>
        <v>14000</v>
      </c>
      <c r="D19" s="169"/>
      <c r="E19" s="187">
        <f t="shared" si="1"/>
        <v>14000</v>
      </c>
      <c r="F19" s="54">
        <v>13000</v>
      </c>
      <c r="G19" s="193"/>
      <c r="H19" s="170"/>
      <c r="I19" s="194"/>
      <c r="J19" s="186">
        <v>1000</v>
      </c>
      <c r="K19" s="101"/>
      <c r="L19" s="82">
        <f t="shared" si="2"/>
        <v>1000</v>
      </c>
      <c r="M19" s="107"/>
      <c r="N19" s="107"/>
      <c r="O19" s="107"/>
      <c r="P19" s="107"/>
      <c r="Q19" s="107"/>
      <c r="R19" s="107"/>
    </row>
    <row r="20" spans="1:18" ht="24.75" x14ac:dyDescent="0.25">
      <c r="A20" s="174" t="s">
        <v>38</v>
      </c>
      <c r="B20" s="134" t="s">
        <v>233</v>
      </c>
      <c r="C20" s="186">
        <f t="shared" si="0"/>
        <v>5700</v>
      </c>
      <c r="D20" s="169"/>
      <c r="E20" s="187">
        <f t="shared" si="1"/>
        <v>5700</v>
      </c>
      <c r="F20" s="54">
        <v>5100</v>
      </c>
      <c r="G20" s="192"/>
      <c r="H20" s="48"/>
      <c r="I20" s="187"/>
      <c r="J20" s="186">
        <v>600</v>
      </c>
      <c r="K20" s="101"/>
      <c r="L20" s="82">
        <f t="shared" si="2"/>
        <v>600</v>
      </c>
      <c r="M20" s="107"/>
      <c r="N20" s="107"/>
      <c r="O20" s="107"/>
      <c r="P20" s="107"/>
      <c r="Q20" s="107"/>
      <c r="R20" s="107"/>
    </row>
    <row r="21" spans="1:18" ht="24.75" x14ac:dyDescent="0.25">
      <c r="A21" s="174" t="s">
        <v>46</v>
      </c>
      <c r="B21" s="134" t="s">
        <v>234</v>
      </c>
      <c r="C21" s="186">
        <f t="shared" si="0"/>
        <v>86000</v>
      </c>
      <c r="D21" s="169"/>
      <c r="E21" s="187">
        <f t="shared" si="1"/>
        <v>86000</v>
      </c>
      <c r="F21" s="54">
        <f>4500+1000</f>
        <v>5500</v>
      </c>
      <c r="G21" s="192">
        <f>32500+28000</f>
        <v>60500</v>
      </c>
      <c r="H21" s="48"/>
      <c r="I21" s="187">
        <f>G21+H21</f>
        <v>60500</v>
      </c>
      <c r="J21" s="186">
        <f>13500+6500</f>
        <v>20000</v>
      </c>
      <c r="K21" s="171"/>
      <c r="L21" s="82">
        <f>J21+K21</f>
        <v>20000</v>
      </c>
      <c r="M21" s="107"/>
      <c r="N21" s="107"/>
      <c r="O21" s="107"/>
      <c r="P21" s="107"/>
      <c r="Q21" s="107"/>
      <c r="R21" s="107"/>
    </row>
    <row r="22" spans="1:18" x14ac:dyDescent="0.25">
      <c r="A22" s="174" t="s">
        <v>48</v>
      </c>
      <c r="B22" s="134" t="s">
        <v>235</v>
      </c>
      <c r="C22" s="186">
        <f t="shared" si="0"/>
        <v>52700</v>
      </c>
      <c r="D22" s="169"/>
      <c r="E22" s="187">
        <f t="shared" si="1"/>
        <v>52700</v>
      </c>
      <c r="F22" s="54">
        <v>2600</v>
      </c>
      <c r="G22" s="192">
        <v>36900</v>
      </c>
      <c r="H22" s="48"/>
      <c r="I22" s="187">
        <f t="shared" ref="I22:I38" si="3">G22+H22</f>
        <v>36900</v>
      </c>
      <c r="J22" s="186">
        <v>13200</v>
      </c>
      <c r="K22" s="101"/>
      <c r="L22" s="82">
        <f t="shared" si="2"/>
        <v>13200</v>
      </c>
      <c r="M22" s="107"/>
      <c r="N22" s="107"/>
      <c r="O22" s="107"/>
      <c r="P22" s="107"/>
      <c r="Q22" s="107"/>
      <c r="R22" s="107"/>
    </row>
    <row r="23" spans="1:18" x14ac:dyDescent="0.25">
      <c r="A23" s="174" t="s">
        <v>54</v>
      </c>
      <c r="B23" s="134" t="s">
        <v>236</v>
      </c>
      <c r="C23" s="186">
        <f t="shared" si="0"/>
        <v>54000</v>
      </c>
      <c r="D23" s="169"/>
      <c r="E23" s="187">
        <f t="shared" si="1"/>
        <v>54000</v>
      </c>
      <c r="F23" s="54">
        <f>3000+1000</f>
        <v>4000</v>
      </c>
      <c r="G23" s="192">
        <v>16000</v>
      </c>
      <c r="H23" s="48"/>
      <c r="I23" s="187">
        <f t="shared" si="3"/>
        <v>16000</v>
      </c>
      <c r="J23" s="186">
        <v>34000</v>
      </c>
      <c r="K23" s="101"/>
      <c r="L23" s="82">
        <f t="shared" si="2"/>
        <v>34000</v>
      </c>
      <c r="M23" s="107"/>
      <c r="N23" s="107"/>
      <c r="O23" s="107"/>
      <c r="P23" s="107"/>
      <c r="Q23" s="107"/>
      <c r="R23" s="107"/>
    </row>
    <row r="24" spans="1:18" x14ac:dyDescent="0.25">
      <c r="A24" s="174" t="s">
        <v>56</v>
      </c>
      <c r="B24" s="137" t="s">
        <v>237</v>
      </c>
      <c r="C24" s="186">
        <f t="shared" si="0"/>
        <v>27000</v>
      </c>
      <c r="D24" s="169"/>
      <c r="E24" s="187">
        <f t="shared" si="1"/>
        <v>27000</v>
      </c>
      <c r="F24" s="54">
        <v>2000</v>
      </c>
      <c r="G24" s="192">
        <v>7000</v>
      </c>
      <c r="H24" s="48"/>
      <c r="I24" s="187">
        <f t="shared" si="3"/>
        <v>7000</v>
      </c>
      <c r="J24" s="186">
        <v>18000</v>
      </c>
      <c r="K24" s="101"/>
      <c r="L24" s="82">
        <f t="shared" si="2"/>
        <v>18000</v>
      </c>
      <c r="M24" s="107"/>
      <c r="N24" s="107"/>
      <c r="O24" s="107"/>
      <c r="P24" s="107"/>
      <c r="Q24" s="107"/>
      <c r="R24" s="107"/>
    </row>
    <row r="25" spans="1:18" ht="48.75" x14ac:dyDescent="0.25">
      <c r="A25" s="174" t="s">
        <v>58</v>
      </c>
      <c r="B25" s="134" t="s">
        <v>238</v>
      </c>
      <c r="C25" s="186">
        <f t="shared" si="0"/>
        <v>20800</v>
      </c>
      <c r="D25" s="169"/>
      <c r="E25" s="187">
        <f t="shared" si="1"/>
        <v>20800</v>
      </c>
      <c r="F25" s="54">
        <v>700</v>
      </c>
      <c r="G25" s="192">
        <v>15400</v>
      </c>
      <c r="H25" s="48"/>
      <c r="I25" s="187">
        <f t="shared" si="3"/>
        <v>15400</v>
      </c>
      <c r="J25" s="186">
        <v>4700</v>
      </c>
      <c r="K25" s="101"/>
      <c r="L25" s="82">
        <f t="shared" si="2"/>
        <v>4700</v>
      </c>
      <c r="M25" s="107"/>
      <c r="N25" s="107"/>
      <c r="O25" s="107"/>
      <c r="P25" s="107"/>
      <c r="Q25" s="107"/>
      <c r="R25" s="107"/>
    </row>
    <row r="26" spans="1:18" ht="24.75" x14ac:dyDescent="0.25">
      <c r="A26" s="174" t="s">
        <v>60</v>
      </c>
      <c r="B26" s="134" t="s">
        <v>239</v>
      </c>
      <c r="C26" s="186">
        <f t="shared" si="0"/>
        <v>25600</v>
      </c>
      <c r="D26" s="169"/>
      <c r="E26" s="187">
        <f t="shared" si="1"/>
        <v>25600</v>
      </c>
      <c r="F26" s="190">
        <v>3200</v>
      </c>
      <c r="G26" s="192">
        <v>17000</v>
      </c>
      <c r="H26" s="48"/>
      <c r="I26" s="187">
        <f t="shared" si="3"/>
        <v>17000</v>
      </c>
      <c r="J26" s="186">
        <v>5400</v>
      </c>
      <c r="K26" s="171"/>
      <c r="L26" s="82">
        <f t="shared" si="2"/>
        <v>5400</v>
      </c>
      <c r="M26" s="107"/>
      <c r="N26" s="107"/>
      <c r="O26" s="107"/>
      <c r="P26" s="107"/>
      <c r="Q26" s="107"/>
      <c r="R26" s="107"/>
    </row>
    <row r="27" spans="1:18" ht="36.75" x14ac:dyDescent="0.25">
      <c r="A27" s="174" t="s">
        <v>62</v>
      </c>
      <c r="B27" s="134" t="s">
        <v>240</v>
      </c>
      <c r="C27" s="186">
        <f t="shared" si="0"/>
        <v>25000</v>
      </c>
      <c r="D27" s="169"/>
      <c r="E27" s="187">
        <f t="shared" si="1"/>
        <v>25000</v>
      </c>
      <c r="F27" s="54">
        <v>3200</v>
      </c>
      <c r="G27" s="192">
        <v>19000</v>
      </c>
      <c r="H27" s="48"/>
      <c r="I27" s="187">
        <f t="shared" si="3"/>
        <v>19000</v>
      </c>
      <c r="J27" s="186">
        <v>2800</v>
      </c>
      <c r="K27" s="101"/>
      <c r="L27" s="82">
        <f t="shared" si="2"/>
        <v>2800</v>
      </c>
      <c r="M27" s="107"/>
      <c r="N27" s="107"/>
      <c r="O27" s="107"/>
      <c r="P27" s="107"/>
      <c r="Q27" s="107"/>
      <c r="R27" s="107"/>
    </row>
    <row r="28" spans="1:18" ht="60" x14ac:dyDescent="0.25">
      <c r="A28" s="174" t="s">
        <v>64</v>
      </c>
      <c r="B28" s="135" t="s">
        <v>241</v>
      </c>
      <c r="C28" s="186">
        <f t="shared" si="0"/>
        <v>23400</v>
      </c>
      <c r="D28" s="169"/>
      <c r="E28" s="187">
        <f t="shared" si="1"/>
        <v>23400</v>
      </c>
      <c r="F28" s="190">
        <v>2800</v>
      </c>
      <c r="G28" s="192">
        <v>5000</v>
      </c>
      <c r="H28" s="48"/>
      <c r="I28" s="187">
        <f t="shared" si="3"/>
        <v>5000</v>
      </c>
      <c r="J28" s="186">
        <v>15600</v>
      </c>
      <c r="K28" s="101"/>
      <c r="L28" s="82">
        <f t="shared" si="2"/>
        <v>15600</v>
      </c>
      <c r="M28" s="107"/>
      <c r="N28" s="107"/>
      <c r="O28" s="107"/>
      <c r="P28" s="107"/>
      <c r="Q28" s="107"/>
      <c r="R28" s="107"/>
    </row>
    <row r="29" spans="1:18" ht="36.75" x14ac:dyDescent="0.25">
      <c r="A29" s="174" t="s">
        <v>66</v>
      </c>
      <c r="B29" s="134" t="s">
        <v>242</v>
      </c>
      <c r="C29" s="186">
        <f t="shared" si="0"/>
        <v>90000</v>
      </c>
      <c r="D29" s="169"/>
      <c r="E29" s="187">
        <f t="shared" si="1"/>
        <v>90000</v>
      </c>
      <c r="F29" s="54">
        <v>1300</v>
      </c>
      <c r="G29" s="192">
        <v>70000</v>
      </c>
      <c r="H29" s="48"/>
      <c r="I29" s="187">
        <f t="shared" si="3"/>
        <v>70000</v>
      </c>
      <c r="J29" s="186">
        <v>18700</v>
      </c>
      <c r="K29" s="101"/>
      <c r="L29" s="82">
        <f t="shared" si="2"/>
        <v>18700</v>
      </c>
      <c r="M29" s="107"/>
      <c r="N29" s="107"/>
      <c r="O29" s="107"/>
      <c r="P29" s="107"/>
      <c r="Q29" s="107"/>
      <c r="R29" s="107"/>
    </row>
    <row r="30" spans="1:18" ht="24.75" x14ac:dyDescent="0.25">
      <c r="A30" s="174" t="s">
        <v>68</v>
      </c>
      <c r="B30" s="134" t="s">
        <v>243</v>
      </c>
      <c r="C30" s="186">
        <f t="shared" si="0"/>
        <v>101500</v>
      </c>
      <c r="D30" s="169"/>
      <c r="E30" s="187">
        <f t="shared" si="1"/>
        <v>101500</v>
      </c>
      <c r="F30" s="54">
        <v>500</v>
      </c>
      <c r="G30" s="192">
        <v>67500</v>
      </c>
      <c r="H30" s="48"/>
      <c r="I30" s="187">
        <f t="shared" si="3"/>
        <v>67500</v>
      </c>
      <c r="J30" s="186">
        <v>33500</v>
      </c>
      <c r="K30" s="101"/>
      <c r="L30" s="82">
        <f t="shared" si="2"/>
        <v>33500</v>
      </c>
      <c r="M30" s="107"/>
      <c r="N30" s="107"/>
      <c r="O30" s="107"/>
      <c r="P30" s="107"/>
      <c r="Q30" s="107"/>
      <c r="R30" s="107"/>
    </row>
    <row r="31" spans="1:18" ht="24.75" x14ac:dyDescent="0.25">
      <c r="A31" s="174" t="s">
        <v>70</v>
      </c>
      <c r="B31" s="134" t="s">
        <v>244</v>
      </c>
      <c r="C31" s="186">
        <f t="shared" si="0"/>
        <v>68000</v>
      </c>
      <c r="D31" s="169"/>
      <c r="E31" s="187">
        <f t="shared" si="1"/>
        <v>68000</v>
      </c>
      <c r="F31" s="54">
        <v>1000</v>
      </c>
      <c r="G31" s="192">
        <v>65000</v>
      </c>
      <c r="H31" s="48"/>
      <c r="I31" s="187">
        <f t="shared" si="3"/>
        <v>65000</v>
      </c>
      <c r="J31" s="186">
        <v>2000</v>
      </c>
      <c r="K31" s="101"/>
      <c r="L31" s="82">
        <f t="shared" si="2"/>
        <v>2000</v>
      </c>
      <c r="M31" s="107"/>
      <c r="N31" s="107"/>
      <c r="O31" s="107"/>
      <c r="P31" s="107"/>
      <c r="Q31" s="107"/>
      <c r="R31" s="107"/>
    </row>
    <row r="32" spans="1:18" ht="24.75" x14ac:dyDescent="0.25">
      <c r="A32" s="174" t="s">
        <v>72</v>
      </c>
      <c r="B32" s="134" t="s">
        <v>245</v>
      </c>
      <c r="C32" s="186">
        <f t="shared" si="0"/>
        <v>116100</v>
      </c>
      <c r="D32" s="169"/>
      <c r="E32" s="187">
        <f t="shared" si="1"/>
        <v>116100</v>
      </c>
      <c r="F32" s="54">
        <v>600</v>
      </c>
      <c r="G32" s="192">
        <v>85000</v>
      </c>
      <c r="H32" s="48"/>
      <c r="I32" s="187">
        <f t="shared" si="3"/>
        <v>85000</v>
      </c>
      <c r="J32" s="186">
        <v>30500</v>
      </c>
      <c r="K32" s="101"/>
      <c r="L32" s="82">
        <f t="shared" si="2"/>
        <v>30500</v>
      </c>
      <c r="M32" s="107"/>
      <c r="N32" s="107"/>
      <c r="O32" s="107"/>
      <c r="P32" s="107"/>
      <c r="Q32" s="107"/>
      <c r="R32" s="107"/>
    </row>
    <row r="33" spans="1:18" ht="24.75" x14ac:dyDescent="0.25">
      <c r="A33" s="174" t="s">
        <v>74</v>
      </c>
      <c r="B33" s="134" t="s">
        <v>246</v>
      </c>
      <c r="C33" s="186">
        <f t="shared" si="0"/>
        <v>112900</v>
      </c>
      <c r="D33" s="169"/>
      <c r="E33" s="187">
        <f t="shared" si="1"/>
        <v>112900</v>
      </c>
      <c r="F33" s="54">
        <v>1200</v>
      </c>
      <c r="G33" s="192">
        <v>84700</v>
      </c>
      <c r="H33" s="48"/>
      <c r="I33" s="187">
        <f t="shared" si="3"/>
        <v>84700</v>
      </c>
      <c r="J33" s="186">
        <v>27000</v>
      </c>
      <c r="K33" s="171"/>
      <c r="L33" s="82">
        <f t="shared" si="2"/>
        <v>27000</v>
      </c>
      <c r="M33" s="107"/>
      <c r="N33" s="107"/>
      <c r="O33" s="107"/>
      <c r="P33" s="107"/>
      <c r="Q33" s="107"/>
      <c r="R33" s="107"/>
    </row>
    <row r="34" spans="1:18" ht="24.75" x14ac:dyDescent="0.25">
      <c r="A34" s="174" t="s">
        <v>138</v>
      </c>
      <c r="B34" s="132" t="s">
        <v>247</v>
      </c>
      <c r="C34" s="186">
        <f t="shared" si="0"/>
        <v>104000</v>
      </c>
      <c r="D34" s="169"/>
      <c r="E34" s="187">
        <f t="shared" si="1"/>
        <v>104000</v>
      </c>
      <c r="F34" s="189"/>
      <c r="G34" s="195">
        <v>101500</v>
      </c>
      <c r="H34" s="172"/>
      <c r="I34" s="187">
        <f t="shared" si="3"/>
        <v>101500</v>
      </c>
      <c r="J34" s="197">
        <v>2500</v>
      </c>
      <c r="K34" s="101"/>
      <c r="L34" s="82">
        <f t="shared" si="2"/>
        <v>2500</v>
      </c>
      <c r="M34" s="107"/>
      <c r="N34" s="107"/>
      <c r="O34" s="107"/>
      <c r="P34" s="107"/>
      <c r="Q34" s="107"/>
      <c r="R34" s="107"/>
    </row>
    <row r="35" spans="1:18" ht="24.75" x14ac:dyDescent="0.25">
      <c r="A35" s="174" t="s">
        <v>140</v>
      </c>
      <c r="B35" s="132" t="s">
        <v>248</v>
      </c>
      <c r="C35" s="186">
        <f t="shared" si="0"/>
        <v>21000</v>
      </c>
      <c r="D35" s="169"/>
      <c r="E35" s="187">
        <f t="shared" si="1"/>
        <v>21000</v>
      </c>
      <c r="F35" s="54"/>
      <c r="G35" s="192">
        <v>21000</v>
      </c>
      <c r="H35" s="48"/>
      <c r="I35" s="187">
        <f t="shared" si="3"/>
        <v>21000</v>
      </c>
      <c r="J35" s="186"/>
      <c r="K35" s="101"/>
      <c r="L35" s="82">
        <f t="shared" si="2"/>
        <v>0</v>
      </c>
      <c r="M35" s="107"/>
      <c r="N35" s="107"/>
      <c r="O35" s="107"/>
      <c r="P35" s="107"/>
      <c r="Q35" s="107"/>
      <c r="R35" s="107"/>
    </row>
    <row r="36" spans="1:18" ht="24.75" x14ac:dyDescent="0.25">
      <c r="A36" s="174" t="s">
        <v>142</v>
      </c>
      <c r="B36" s="132" t="s">
        <v>249</v>
      </c>
      <c r="C36" s="186">
        <f t="shared" si="0"/>
        <v>360600</v>
      </c>
      <c r="D36" s="169">
        <f>H36</f>
        <v>10300</v>
      </c>
      <c r="E36" s="187">
        <f t="shared" si="1"/>
        <v>370900</v>
      </c>
      <c r="F36" s="54">
        <f>1000+38000</f>
        <v>39000</v>
      </c>
      <c r="G36" s="192">
        <v>17600</v>
      </c>
      <c r="H36" s="48">
        <v>10300</v>
      </c>
      <c r="I36" s="187">
        <f t="shared" si="3"/>
        <v>27900</v>
      </c>
      <c r="J36" s="186">
        <v>304000</v>
      </c>
      <c r="K36" s="101"/>
      <c r="L36" s="82">
        <f t="shared" si="2"/>
        <v>304000</v>
      </c>
      <c r="M36" s="107"/>
      <c r="N36" s="107"/>
      <c r="O36" s="107"/>
      <c r="P36" s="107"/>
      <c r="Q36" s="107"/>
      <c r="R36" s="107"/>
    </row>
    <row r="37" spans="1:18" ht="24.75" x14ac:dyDescent="0.25">
      <c r="A37" s="174" t="s">
        <v>144</v>
      </c>
      <c r="B37" s="132" t="s">
        <v>250</v>
      </c>
      <c r="C37" s="186">
        <f t="shared" si="0"/>
        <v>34200</v>
      </c>
      <c r="D37" s="169"/>
      <c r="E37" s="187">
        <f t="shared" si="1"/>
        <v>34200</v>
      </c>
      <c r="F37" s="54">
        <v>2000</v>
      </c>
      <c r="G37" s="192"/>
      <c r="H37" s="48"/>
      <c r="I37" s="187">
        <f t="shared" si="3"/>
        <v>0</v>
      </c>
      <c r="J37" s="186">
        <v>32200</v>
      </c>
      <c r="K37" s="101"/>
      <c r="L37" s="82">
        <f t="shared" si="2"/>
        <v>32200</v>
      </c>
      <c r="M37" s="107"/>
      <c r="N37" s="107"/>
      <c r="O37" s="107"/>
      <c r="P37" s="107"/>
      <c r="Q37" s="107"/>
      <c r="R37" s="107"/>
    </row>
    <row r="38" spans="1:18" ht="24.75" x14ac:dyDescent="0.25">
      <c r="A38" s="174" t="s">
        <v>146</v>
      </c>
      <c r="B38" s="132" t="s">
        <v>251</v>
      </c>
      <c r="C38" s="186">
        <f t="shared" si="0"/>
        <v>63400</v>
      </c>
      <c r="D38" s="169"/>
      <c r="E38" s="187">
        <f t="shared" si="1"/>
        <v>63400</v>
      </c>
      <c r="F38" s="189"/>
      <c r="G38" s="192">
        <v>61900</v>
      </c>
      <c r="H38" s="48"/>
      <c r="I38" s="187">
        <f t="shared" si="3"/>
        <v>61900</v>
      </c>
      <c r="J38" s="186">
        <v>1500</v>
      </c>
      <c r="K38" s="171"/>
      <c r="L38" s="82">
        <f t="shared" si="2"/>
        <v>1500</v>
      </c>
      <c r="M38" s="107"/>
      <c r="N38" s="107"/>
      <c r="O38" s="107"/>
      <c r="P38" s="107"/>
      <c r="Q38" s="107"/>
      <c r="R38" s="107"/>
    </row>
    <row r="39" spans="1:18" ht="36.75" x14ac:dyDescent="0.25">
      <c r="A39" s="174" t="s">
        <v>148</v>
      </c>
      <c r="B39" s="132" t="s">
        <v>252</v>
      </c>
      <c r="C39" s="186">
        <f t="shared" si="0"/>
        <v>126000</v>
      </c>
      <c r="D39" s="169">
        <f>K39</f>
        <v>10000</v>
      </c>
      <c r="E39" s="187">
        <f t="shared" si="1"/>
        <v>136000</v>
      </c>
      <c r="F39" s="189"/>
      <c r="G39" s="192"/>
      <c r="H39" s="48"/>
      <c r="I39" s="187"/>
      <c r="J39" s="186">
        <v>126000</v>
      </c>
      <c r="K39" s="101">
        <v>10000</v>
      </c>
      <c r="L39" s="82">
        <f t="shared" si="2"/>
        <v>136000</v>
      </c>
      <c r="M39" s="107"/>
      <c r="N39" s="107"/>
      <c r="O39" s="107"/>
      <c r="P39" s="107"/>
      <c r="Q39" s="107"/>
      <c r="R39" s="107"/>
    </row>
    <row r="40" spans="1:18" ht="15.75" thickBot="1" x14ac:dyDescent="0.3">
      <c r="A40" s="176"/>
      <c r="B40" s="177" t="s">
        <v>253</v>
      </c>
      <c r="C40" s="87">
        <f t="shared" si="0"/>
        <v>2054500</v>
      </c>
      <c r="D40" s="178">
        <f>SUM(D13:D39)</f>
        <v>20300</v>
      </c>
      <c r="E40" s="188">
        <f t="shared" si="1"/>
        <v>2074800</v>
      </c>
      <c r="F40" s="52">
        <f>F13+F38+F39+F14+F16+F15+F17+F18+F19+F23+F20+F21+F22+F27+F24+F25+F28+F26+F30+F31+F29+F32+F33+F34+F35+F36+F37</f>
        <v>218500</v>
      </c>
      <c r="G40" s="196">
        <f>G13+G38+G39+G14+G16+G15+G17+G18+G19+G23+G20+G21+G22+G27+G24+G25+G28+G26+G30+G31+G29+G32+G33+G34+G35+G36+G37</f>
        <v>751000</v>
      </c>
      <c r="H40" s="49">
        <f>SUM(H35:H39)</f>
        <v>10300</v>
      </c>
      <c r="I40" s="188">
        <f>SUM(I21:I39)</f>
        <v>761300</v>
      </c>
      <c r="J40" s="87">
        <f>J13+J38+J39+J14+J16+J15+J17+J18+J19+J23+J20+J21+J22+J27+J24+J25+J28+J26+J30+J31+J29+J32+J33+J34+J35+J36+J37</f>
        <v>1085000</v>
      </c>
      <c r="K40" s="103">
        <f>SUM(K13:K39)</f>
        <v>10000</v>
      </c>
      <c r="L40" s="76">
        <f t="shared" si="2"/>
        <v>1095000</v>
      </c>
      <c r="M40" s="107"/>
      <c r="N40" s="107"/>
      <c r="O40" s="107"/>
      <c r="P40" s="107"/>
      <c r="Q40" s="107"/>
      <c r="R40" s="107"/>
    </row>
    <row r="41" spans="1:18" x14ac:dyDescent="0.25">
      <c r="A41" s="108"/>
      <c r="B41" s="131"/>
      <c r="C41" s="119"/>
      <c r="D41" s="119"/>
      <c r="E41" s="119"/>
      <c r="F41" s="120"/>
      <c r="G41" s="116"/>
      <c r="H41" s="116"/>
      <c r="I41" s="116"/>
      <c r="J41" s="116"/>
      <c r="K41" s="117"/>
      <c r="L41" s="107"/>
      <c r="M41" s="107"/>
      <c r="N41" s="107"/>
      <c r="O41" s="107"/>
      <c r="P41" s="107"/>
      <c r="Q41" s="107"/>
      <c r="R41" s="107"/>
    </row>
    <row r="42" spans="1:18" x14ac:dyDescent="0.25">
      <c r="A42" s="108"/>
      <c r="B42" s="131"/>
      <c r="C42" s="109"/>
      <c r="D42" s="118"/>
      <c r="E42" s="118"/>
      <c r="F42" s="110"/>
      <c r="G42" s="51"/>
      <c r="H42" s="51"/>
      <c r="I42" s="51"/>
      <c r="J42" s="111"/>
      <c r="K42" s="112"/>
      <c r="L42" s="107"/>
      <c r="M42" s="107"/>
      <c r="N42" s="107"/>
      <c r="O42" s="107"/>
      <c r="P42" s="107"/>
      <c r="Q42" s="107"/>
      <c r="R42" s="107"/>
    </row>
    <row r="43" spans="1:18" x14ac:dyDescent="0.25">
      <c r="A43" s="108"/>
      <c r="B43" s="131"/>
      <c r="C43" s="119"/>
      <c r="D43" s="119"/>
      <c r="E43" s="119"/>
      <c r="F43" s="120"/>
      <c r="G43" s="116"/>
      <c r="H43" s="116"/>
      <c r="I43" s="116"/>
      <c r="J43" s="111"/>
      <c r="K43" s="117"/>
      <c r="L43" s="107"/>
      <c r="M43" s="107"/>
      <c r="N43" s="107"/>
      <c r="O43" s="107"/>
      <c r="P43" s="107"/>
      <c r="Q43" s="107"/>
      <c r="R43" s="107"/>
    </row>
    <row r="44" spans="1:18" x14ac:dyDescent="0.25">
      <c r="A44" s="108"/>
      <c r="B44" s="131"/>
      <c r="C44" s="108"/>
      <c r="D44" s="108"/>
      <c r="E44" s="108"/>
      <c r="F44" s="110"/>
      <c r="G44" s="51"/>
      <c r="H44" s="51"/>
      <c r="I44" s="51"/>
      <c r="J44" s="111"/>
      <c r="K44" s="112"/>
      <c r="L44" s="107"/>
      <c r="M44" s="107"/>
      <c r="N44" s="107"/>
      <c r="O44" s="107"/>
      <c r="P44" s="107"/>
      <c r="Q44" s="107"/>
      <c r="R44" s="107"/>
    </row>
    <row r="45" spans="1:18" x14ac:dyDescent="0.25">
      <c r="A45" s="108"/>
      <c r="B45" s="131"/>
      <c r="C45" s="131"/>
      <c r="D45" s="131"/>
      <c r="E45" s="131"/>
      <c r="F45" s="110"/>
      <c r="G45" s="51"/>
      <c r="H45" s="51"/>
      <c r="I45" s="51"/>
      <c r="J45" s="111"/>
      <c r="K45" s="112"/>
      <c r="L45" s="107"/>
      <c r="M45" s="107"/>
      <c r="N45" s="107"/>
      <c r="O45" s="107"/>
      <c r="P45" s="107"/>
      <c r="Q45" s="107"/>
      <c r="R45" s="107"/>
    </row>
    <row r="46" spans="1:18" x14ac:dyDescent="0.25">
      <c r="A46" s="108"/>
      <c r="B46" s="131"/>
      <c r="C46" s="131"/>
      <c r="D46" s="131"/>
      <c r="E46" s="131"/>
      <c r="F46" s="110"/>
      <c r="G46" s="51"/>
      <c r="H46" s="51"/>
      <c r="I46" s="51"/>
      <c r="J46" s="112"/>
      <c r="K46" s="112"/>
      <c r="L46" s="107"/>
      <c r="M46" s="107"/>
      <c r="N46" s="107"/>
      <c r="O46" s="107"/>
      <c r="P46" s="107"/>
      <c r="Q46" s="107"/>
      <c r="R46" s="107"/>
    </row>
    <row r="47" spans="1:18" x14ac:dyDescent="0.25">
      <c r="A47" s="108"/>
      <c r="B47" s="131"/>
      <c r="C47" s="131"/>
      <c r="D47" s="131"/>
      <c r="E47" s="131"/>
      <c r="F47" s="110"/>
      <c r="G47" s="51"/>
      <c r="H47" s="51"/>
      <c r="I47" s="51"/>
      <c r="J47" s="112"/>
      <c r="K47" s="112"/>
      <c r="L47" s="107"/>
      <c r="M47" s="107"/>
      <c r="N47" s="107"/>
      <c r="O47" s="107"/>
      <c r="P47" s="107"/>
      <c r="Q47" s="107"/>
      <c r="R47" s="107"/>
    </row>
    <row r="48" spans="1:18" x14ac:dyDescent="0.25">
      <c r="A48" s="108"/>
      <c r="B48" s="131"/>
      <c r="C48" s="131"/>
      <c r="D48" s="131"/>
      <c r="E48" s="131"/>
      <c r="F48" s="110"/>
      <c r="G48" s="51"/>
      <c r="H48" s="51"/>
      <c r="I48" s="51"/>
      <c r="J48" s="112"/>
      <c r="K48" s="112"/>
      <c r="L48" s="121"/>
      <c r="M48" s="121"/>
      <c r="N48" s="107"/>
      <c r="O48" s="107"/>
      <c r="P48" s="107"/>
      <c r="Q48" s="107"/>
      <c r="R48" s="107"/>
    </row>
    <row r="49" spans="1:18" x14ac:dyDescent="0.25">
      <c r="A49" s="108"/>
      <c r="B49" s="131"/>
      <c r="C49" s="109"/>
      <c r="D49" s="118"/>
      <c r="E49" s="118"/>
      <c r="F49" s="110"/>
      <c r="G49" s="122"/>
      <c r="H49" s="122"/>
      <c r="I49" s="122"/>
      <c r="J49" s="111"/>
      <c r="K49" s="112"/>
      <c r="L49" s="107"/>
      <c r="M49" s="107"/>
      <c r="N49" s="107"/>
      <c r="O49" s="107"/>
      <c r="P49" s="107"/>
      <c r="Q49" s="107"/>
      <c r="R49" s="107"/>
    </row>
    <row r="50" spans="1:18" x14ac:dyDescent="0.25">
      <c r="A50" s="108"/>
      <c r="B50" s="131"/>
      <c r="C50" s="119"/>
      <c r="D50" s="119"/>
      <c r="E50" s="119"/>
      <c r="F50" s="120"/>
      <c r="G50" s="116"/>
      <c r="H50" s="116"/>
      <c r="I50" s="116"/>
      <c r="J50" s="116"/>
      <c r="K50" s="117"/>
      <c r="L50" s="107"/>
      <c r="M50" s="107"/>
      <c r="N50" s="107"/>
      <c r="O50" s="107"/>
      <c r="P50" s="107"/>
      <c r="Q50" s="107"/>
      <c r="R50" s="107"/>
    </row>
    <row r="51" spans="1:18" x14ac:dyDescent="0.25">
      <c r="A51" s="108"/>
      <c r="B51" s="131"/>
      <c r="C51" s="108"/>
      <c r="D51" s="108"/>
      <c r="E51" s="108"/>
      <c r="F51" s="110"/>
      <c r="G51" s="51"/>
      <c r="H51" s="51"/>
      <c r="I51" s="51"/>
      <c r="J51" s="111"/>
      <c r="K51" s="112"/>
      <c r="L51" s="107"/>
      <c r="M51" s="107"/>
      <c r="N51" s="107"/>
      <c r="O51" s="107"/>
      <c r="P51" s="107"/>
      <c r="Q51" s="107"/>
      <c r="R51" s="107"/>
    </row>
    <row r="52" spans="1:18" x14ac:dyDescent="0.25">
      <c r="A52" s="108"/>
      <c r="B52" s="131"/>
      <c r="C52" s="131"/>
      <c r="D52" s="131"/>
      <c r="E52" s="131"/>
      <c r="F52" s="110"/>
      <c r="G52" s="51"/>
      <c r="H52" s="51"/>
      <c r="I52" s="51"/>
      <c r="J52" s="112"/>
      <c r="K52" s="112"/>
      <c r="L52" s="107"/>
      <c r="M52" s="107"/>
      <c r="N52" s="107"/>
      <c r="O52" s="107"/>
      <c r="P52" s="107"/>
      <c r="Q52" s="107"/>
      <c r="R52" s="107"/>
    </row>
    <row r="53" spans="1:18" x14ac:dyDescent="0.25">
      <c r="A53" s="108"/>
      <c r="B53" s="131"/>
      <c r="C53" s="131"/>
      <c r="D53" s="131"/>
      <c r="E53" s="131"/>
      <c r="F53" s="110"/>
      <c r="G53" s="51"/>
      <c r="H53" s="51"/>
      <c r="I53" s="51"/>
      <c r="J53" s="112"/>
      <c r="K53" s="112"/>
      <c r="L53" s="107"/>
      <c r="M53" s="107"/>
      <c r="N53" s="107"/>
      <c r="O53" s="107"/>
      <c r="P53" s="107"/>
      <c r="Q53" s="107"/>
      <c r="R53" s="107"/>
    </row>
    <row r="54" spans="1:18" x14ac:dyDescent="0.25">
      <c r="A54" s="108"/>
      <c r="B54" s="131"/>
      <c r="C54" s="131"/>
      <c r="D54" s="131"/>
      <c r="E54" s="131"/>
      <c r="F54" s="110"/>
      <c r="G54" s="51"/>
      <c r="H54" s="51"/>
      <c r="I54" s="51"/>
      <c r="J54" s="112"/>
      <c r="K54" s="112"/>
      <c r="L54" s="121"/>
      <c r="M54" s="121"/>
      <c r="N54" s="107"/>
      <c r="O54" s="107"/>
      <c r="P54" s="107"/>
      <c r="Q54" s="107"/>
      <c r="R54" s="107"/>
    </row>
    <row r="55" spans="1:18" x14ac:dyDescent="0.25">
      <c r="A55" s="108"/>
      <c r="B55" s="131"/>
      <c r="C55" s="131"/>
      <c r="D55" s="131"/>
      <c r="E55" s="131"/>
      <c r="F55" s="110"/>
      <c r="G55" s="51"/>
      <c r="H55" s="51"/>
      <c r="I55" s="51"/>
      <c r="J55" s="112"/>
      <c r="K55" s="112"/>
      <c r="L55" s="107"/>
      <c r="M55" s="107"/>
      <c r="N55" s="107"/>
      <c r="O55" s="107"/>
      <c r="P55" s="107"/>
      <c r="Q55" s="107"/>
      <c r="R55" s="107"/>
    </row>
    <row r="56" spans="1:18" x14ac:dyDescent="0.25">
      <c r="A56" s="108"/>
      <c r="B56" s="131"/>
      <c r="C56" s="119"/>
      <c r="D56" s="119"/>
      <c r="E56" s="119"/>
      <c r="F56" s="120"/>
      <c r="G56" s="116"/>
      <c r="H56" s="116"/>
      <c r="I56" s="116"/>
      <c r="J56" s="116"/>
      <c r="K56" s="117"/>
      <c r="L56" s="107"/>
      <c r="M56" s="107"/>
      <c r="N56" s="107"/>
      <c r="O56" s="107"/>
      <c r="P56" s="107"/>
      <c r="Q56" s="107"/>
      <c r="R56" s="107"/>
    </row>
    <row r="57" spans="1:18" x14ac:dyDescent="0.25">
      <c r="A57" s="108"/>
      <c r="B57" s="131"/>
      <c r="C57" s="108"/>
      <c r="D57" s="108"/>
      <c r="E57" s="108"/>
      <c r="F57" s="110"/>
      <c r="G57" s="51"/>
      <c r="H57" s="51"/>
      <c r="I57" s="51"/>
      <c r="J57" s="111"/>
      <c r="K57" s="112"/>
      <c r="L57" s="107"/>
      <c r="M57" s="107"/>
      <c r="N57" s="107"/>
      <c r="O57" s="107"/>
      <c r="P57" s="107"/>
      <c r="Q57" s="107"/>
      <c r="R57" s="107"/>
    </row>
    <row r="58" spans="1:18" x14ac:dyDescent="0.25">
      <c r="A58" s="108"/>
      <c r="B58" s="131"/>
      <c r="C58" s="119"/>
      <c r="D58" s="119"/>
      <c r="E58" s="119"/>
      <c r="F58" s="110"/>
      <c r="G58" s="116"/>
      <c r="H58" s="116"/>
      <c r="I58" s="116"/>
      <c r="J58" s="111"/>
      <c r="K58" s="117"/>
      <c r="L58" s="107"/>
      <c r="M58" s="107"/>
      <c r="N58" s="107"/>
      <c r="O58" s="107"/>
      <c r="P58" s="107"/>
      <c r="Q58" s="107"/>
      <c r="R58" s="107"/>
    </row>
    <row r="59" spans="1:18" x14ac:dyDescent="0.25">
      <c r="A59" s="108"/>
      <c r="B59" s="131"/>
      <c r="C59" s="108"/>
      <c r="D59" s="108"/>
      <c r="E59" s="108"/>
      <c r="F59" s="110"/>
      <c r="G59" s="51"/>
      <c r="H59" s="51"/>
      <c r="I59" s="51"/>
      <c r="J59" s="111"/>
      <c r="K59" s="112"/>
      <c r="L59" s="107"/>
      <c r="M59" s="107"/>
      <c r="N59" s="107"/>
      <c r="O59" s="107"/>
      <c r="P59" s="107"/>
      <c r="Q59" s="107"/>
      <c r="R59" s="107"/>
    </row>
    <row r="60" spans="1:18" x14ac:dyDescent="0.25">
      <c r="A60" s="108"/>
      <c r="B60" s="131"/>
      <c r="C60" s="108"/>
      <c r="D60" s="108"/>
      <c r="E60" s="108"/>
      <c r="F60" s="110"/>
      <c r="G60" s="51"/>
      <c r="H60" s="51"/>
      <c r="I60" s="51"/>
      <c r="J60" s="111"/>
      <c r="K60" s="112"/>
      <c r="L60" s="107"/>
      <c r="M60" s="107"/>
      <c r="N60" s="107"/>
      <c r="O60" s="107"/>
      <c r="P60" s="107"/>
      <c r="Q60" s="107"/>
      <c r="R60" s="107"/>
    </row>
    <row r="61" spans="1:18" x14ac:dyDescent="0.25">
      <c r="A61" s="108"/>
      <c r="B61" s="131"/>
      <c r="C61" s="108"/>
      <c r="D61" s="108"/>
      <c r="E61" s="108"/>
      <c r="F61" s="110"/>
      <c r="G61" s="51"/>
      <c r="H61" s="51"/>
      <c r="I61" s="51"/>
      <c r="J61" s="111"/>
      <c r="K61" s="112"/>
      <c r="L61" s="107"/>
      <c r="M61" s="107"/>
      <c r="N61" s="107"/>
      <c r="O61" s="107"/>
      <c r="P61" s="107"/>
      <c r="Q61" s="107"/>
      <c r="R61" s="107"/>
    </row>
    <row r="62" spans="1:18" x14ac:dyDescent="0.25">
      <c r="A62" s="108"/>
      <c r="B62" s="131"/>
      <c r="C62" s="119"/>
      <c r="D62" s="119"/>
      <c r="E62" s="119"/>
      <c r="F62" s="120"/>
      <c r="G62" s="116"/>
      <c r="H62" s="116"/>
      <c r="I62" s="116"/>
      <c r="J62" s="111"/>
      <c r="K62" s="117"/>
      <c r="L62" s="107"/>
      <c r="M62" s="107"/>
      <c r="N62" s="107"/>
      <c r="O62" s="107"/>
      <c r="P62" s="107"/>
      <c r="Q62" s="107"/>
      <c r="R62" s="107"/>
    </row>
    <row r="63" spans="1:18" x14ac:dyDescent="0.25">
      <c r="A63" s="108"/>
      <c r="B63" s="113"/>
      <c r="C63" s="114"/>
      <c r="D63" s="114"/>
      <c r="E63" s="114"/>
      <c r="F63" s="115"/>
      <c r="G63" s="116"/>
      <c r="H63" s="116"/>
      <c r="I63" s="116"/>
      <c r="J63" s="116"/>
      <c r="K63" s="117"/>
      <c r="L63" s="107"/>
      <c r="M63" s="123"/>
      <c r="N63" s="107"/>
      <c r="O63" s="107"/>
      <c r="P63" s="107"/>
      <c r="Q63" s="107"/>
      <c r="R63" s="107"/>
    </row>
    <row r="64" spans="1:18" x14ac:dyDescent="0.25">
      <c r="A64" s="108"/>
      <c r="B64" s="108"/>
      <c r="C64" s="108"/>
      <c r="D64" s="108"/>
      <c r="E64" s="108"/>
      <c r="F64" s="110"/>
      <c r="G64" s="51"/>
      <c r="H64" s="51"/>
      <c r="I64" s="51"/>
      <c r="J64" s="111"/>
      <c r="K64" s="112"/>
      <c r="L64" s="107"/>
      <c r="M64" s="107"/>
      <c r="N64" s="107"/>
      <c r="O64" s="107"/>
      <c r="P64" s="107"/>
      <c r="Q64" s="107"/>
      <c r="R64" s="107"/>
    </row>
    <row r="65" spans="1:18" x14ac:dyDescent="0.25">
      <c r="A65" s="108"/>
      <c r="B65" s="108"/>
      <c r="C65" s="108"/>
      <c r="D65" s="108"/>
      <c r="E65" s="108"/>
      <c r="F65" s="110"/>
      <c r="G65" s="51"/>
      <c r="H65" s="51"/>
      <c r="I65" s="51"/>
      <c r="J65" s="111"/>
      <c r="K65" s="112"/>
      <c r="L65" s="107"/>
      <c r="M65" s="107"/>
      <c r="N65" s="107"/>
      <c r="O65" s="107"/>
      <c r="P65" s="107"/>
      <c r="Q65" s="107"/>
      <c r="R65" s="107"/>
    </row>
    <row r="66" spans="1:18" x14ac:dyDescent="0.25">
      <c r="A66" s="108"/>
      <c r="B66" s="113"/>
      <c r="C66" s="114"/>
      <c r="D66" s="114"/>
      <c r="E66" s="114"/>
      <c r="F66" s="115"/>
      <c r="G66" s="116"/>
      <c r="H66" s="116"/>
      <c r="I66" s="116"/>
      <c r="J66" s="111"/>
      <c r="K66" s="117"/>
      <c r="L66" s="107"/>
      <c r="M66" s="107"/>
      <c r="N66" s="107"/>
      <c r="O66" s="107"/>
      <c r="P66" s="107"/>
      <c r="Q66" s="107"/>
      <c r="R66" s="107"/>
    </row>
    <row r="67" spans="1:18" x14ac:dyDescent="0.25">
      <c r="A67" s="108"/>
      <c r="B67" s="109"/>
      <c r="C67" s="108"/>
      <c r="D67" s="108"/>
      <c r="E67" s="108"/>
      <c r="F67" s="110"/>
      <c r="G67" s="51"/>
      <c r="H67" s="51"/>
      <c r="I67" s="51"/>
      <c r="J67" s="111"/>
      <c r="K67" s="112"/>
      <c r="L67" s="107"/>
      <c r="M67" s="107"/>
      <c r="N67" s="107"/>
      <c r="O67" s="107"/>
      <c r="P67" s="107"/>
      <c r="Q67" s="107"/>
      <c r="R67" s="107"/>
    </row>
    <row r="68" spans="1:18" x14ac:dyDescent="0.25">
      <c r="A68" s="108"/>
      <c r="B68" s="113"/>
      <c r="C68" s="114"/>
      <c r="D68" s="114"/>
      <c r="E68" s="114"/>
      <c r="F68" s="115"/>
      <c r="G68" s="116"/>
      <c r="H68" s="116"/>
      <c r="I68" s="116"/>
      <c r="J68" s="111"/>
      <c r="K68" s="117"/>
      <c r="L68" s="107"/>
      <c r="M68" s="107"/>
      <c r="N68" s="107"/>
      <c r="O68" s="107"/>
      <c r="P68" s="107"/>
      <c r="Q68" s="107"/>
      <c r="R68" s="107"/>
    </row>
    <row r="69" spans="1:18" x14ac:dyDescent="0.25">
      <c r="A69" s="108"/>
      <c r="B69" s="108"/>
      <c r="C69" s="108"/>
      <c r="D69" s="108"/>
      <c r="E69" s="108"/>
      <c r="F69" s="110"/>
      <c r="G69" s="51"/>
      <c r="H69" s="51"/>
      <c r="I69" s="51"/>
      <c r="J69" s="111"/>
      <c r="K69" s="112"/>
      <c r="L69" s="107"/>
      <c r="M69" s="107"/>
      <c r="N69" s="107"/>
      <c r="O69" s="107"/>
      <c r="P69" s="107"/>
      <c r="Q69" s="107"/>
      <c r="R69" s="107"/>
    </row>
    <row r="70" spans="1:18" x14ac:dyDescent="0.25">
      <c r="A70" s="108"/>
      <c r="B70" s="113"/>
      <c r="C70" s="114"/>
      <c r="D70" s="114"/>
      <c r="E70" s="114"/>
      <c r="F70" s="115"/>
      <c r="G70" s="116"/>
      <c r="H70" s="116"/>
      <c r="I70" s="116"/>
      <c r="J70" s="111"/>
      <c r="K70" s="117"/>
      <c r="L70" s="107"/>
      <c r="M70" s="107"/>
      <c r="N70" s="107"/>
      <c r="O70" s="107"/>
      <c r="P70" s="107"/>
      <c r="Q70" s="107"/>
      <c r="R70" s="107"/>
    </row>
    <row r="71" spans="1:18" x14ac:dyDescent="0.25">
      <c r="A71" s="108"/>
      <c r="B71" s="108"/>
      <c r="C71" s="108"/>
      <c r="D71" s="108"/>
      <c r="E71" s="108"/>
      <c r="F71" s="110"/>
      <c r="G71" s="51"/>
      <c r="H71" s="51"/>
      <c r="I71" s="51"/>
      <c r="J71" s="111"/>
      <c r="K71" s="112"/>
      <c r="L71" s="107"/>
      <c r="M71" s="107"/>
      <c r="N71" s="107"/>
      <c r="O71" s="107"/>
      <c r="P71" s="107"/>
      <c r="Q71" s="107"/>
      <c r="R71" s="107"/>
    </row>
    <row r="72" spans="1:18" x14ac:dyDescent="0.25">
      <c r="A72" s="108"/>
      <c r="B72" s="113"/>
      <c r="C72" s="114"/>
      <c r="D72" s="114"/>
      <c r="E72" s="114"/>
      <c r="F72" s="115"/>
      <c r="G72" s="116"/>
      <c r="H72" s="116"/>
      <c r="I72" s="116"/>
      <c r="J72" s="111"/>
      <c r="K72" s="117"/>
      <c r="L72" s="107"/>
      <c r="M72" s="107"/>
      <c r="N72" s="107"/>
      <c r="O72" s="107"/>
      <c r="P72" s="107"/>
      <c r="Q72" s="107"/>
      <c r="R72" s="107"/>
    </row>
    <row r="73" spans="1:18" x14ac:dyDescent="0.25">
      <c r="A73" s="108"/>
      <c r="B73" s="108"/>
      <c r="C73" s="108"/>
      <c r="D73" s="108"/>
      <c r="E73" s="108"/>
      <c r="F73" s="110"/>
      <c r="G73" s="51"/>
      <c r="H73" s="51"/>
      <c r="I73" s="51"/>
      <c r="J73" s="111"/>
      <c r="K73" s="112"/>
      <c r="L73" s="107"/>
      <c r="M73" s="107"/>
      <c r="N73" s="107"/>
      <c r="O73" s="107"/>
      <c r="P73" s="107"/>
      <c r="Q73" s="107"/>
      <c r="R73" s="107"/>
    </row>
    <row r="74" spans="1:18" x14ac:dyDescent="0.25">
      <c r="A74" s="108"/>
      <c r="B74" s="113"/>
      <c r="C74" s="114"/>
      <c r="D74" s="114"/>
      <c r="E74" s="114"/>
      <c r="F74" s="115"/>
      <c r="G74" s="116"/>
      <c r="H74" s="116"/>
      <c r="I74" s="116"/>
      <c r="J74" s="111"/>
      <c r="K74" s="117"/>
      <c r="L74" s="107"/>
      <c r="M74" s="107"/>
      <c r="N74" s="107"/>
      <c r="O74" s="107"/>
      <c r="P74" s="107"/>
      <c r="Q74" s="107"/>
      <c r="R74" s="107"/>
    </row>
    <row r="75" spans="1:18" x14ac:dyDescent="0.25">
      <c r="A75" s="108"/>
      <c r="B75" s="108"/>
      <c r="C75" s="108"/>
      <c r="D75" s="108"/>
      <c r="E75" s="108"/>
      <c r="F75" s="110"/>
      <c r="G75" s="51"/>
      <c r="H75" s="51"/>
      <c r="I75" s="51"/>
      <c r="J75" s="111"/>
      <c r="K75" s="112"/>
      <c r="L75" s="107"/>
      <c r="M75" s="107"/>
      <c r="N75" s="107"/>
      <c r="O75" s="107"/>
      <c r="P75" s="107"/>
      <c r="Q75" s="107"/>
      <c r="R75" s="107"/>
    </row>
    <row r="76" spans="1:18" x14ac:dyDescent="0.25">
      <c r="A76" s="108"/>
      <c r="B76" s="113"/>
      <c r="C76" s="114"/>
      <c r="D76" s="114"/>
      <c r="E76" s="114"/>
      <c r="F76" s="115"/>
      <c r="G76" s="116"/>
      <c r="H76" s="116"/>
      <c r="I76" s="116"/>
      <c r="J76" s="111"/>
      <c r="K76" s="117"/>
      <c r="L76" s="107"/>
      <c r="M76" s="107"/>
      <c r="N76" s="107"/>
      <c r="O76" s="107"/>
      <c r="P76" s="107"/>
      <c r="Q76" s="107"/>
      <c r="R76" s="107"/>
    </row>
    <row r="77" spans="1:18" x14ac:dyDescent="0.25">
      <c r="A77" s="108"/>
      <c r="B77" s="108"/>
      <c r="C77" s="108"/>
      <c r="D77" s="108"/>
      <c r="E77" s="108"/>
      <c r="F77" s="110"/>
      <c r="G77" s="51"/>
      <c r="H77" s="51"/>
      <c r="I77" s="51"/>
      <c r="J77" s="111"/>
      <c r="K77" s="112"/>
      <c r="L77" s="107"/>
      <c r="M77" s="107"/>
      <c r="N77" s="107"/>
      <c r="O77" s="107"/>
      <c r="P77" s="107"/>
      <c r="Q77" s="107"/>
      <c r="R77" s="107"/>
    </row>
    <row r="78" spans="1:18" x14ac:dyDescent="0.25">
      <c r="A78" s="108"/>
      <c r="B78" s="113"/>
      <c r="C78" s="114"/>
      <c r="D78" s="114"/>
      <c r="E78" s="114"/>
      <c r="F78" s="115"/>
      <c r="G78" s="116"/>
      <c r="H78" s="116"/>
      <c r="I78" s="116"/>
      <c r="J78" s="111"/>
      <c r="K78" s="117"/>
      <c r="L78" s="107"/>
      <c r="M78" s="107"/>
      <c r="N78" s="107"/>
      <c r="O78" s="107"/>
      <c r="P78" s="107"/>
      <c r="Q78" s="107"/>
      <c r="R78" s="107"/>
    </row>
    <row r="79" spans="1:18" x14ac:dyDescent="0.25">
      <c r="A79" s="108"/>
      <c r="B79" s="108"/>
      <c r="C79" s="108"/>
      <c r="D79" s="108"/>
      <c r="E79" s="108"/>
      <c r="F79" s="110"/>
      <c r="G79" s="51"/>
      <c r="H79" s="51"/>
      <c r="I79" s="51"/>
      <c r="J79" s="111"/>
      <c r="K79" s="112"/>
      <c r="L79" s="107"/>
      <c r="M79" s="107"/>
      <c r="N79" s="107"/>
      <c r="O79" s="107"/>
      <c r="P79" s="107"/>
      <c r="Q79" s="107"/>
      <c r="R79" s="107"/>
    </row>
    <row r="80" spans="1:18" x14ac:dyDescent="0.25">
      <c r="A80" s="108"/>
      <c r="B80" s="113"/>
      <c r="C80" s="114"/>
      <c r="D80" s="114"/>
      <c r="E80" s="114"/>
      <c r="F80" s="115"/>
      <c r="G80" s="116"/>
      <c r="H80" s="116"/>
      <c r="I80" s="116"/>
      <c r="J80" s="111"/>
      <c r="K80" s="117"/>
      <c r="L80" s="107"/>
      <c r="M80" s="107"/>
      <c r="N80" s="107"/>
      <c r="O80" s="107"/>
      <c r="P80" s="107"/>
      <c r="Q80" s="107"/>
      <c r="R80" s="107"/>
    </row>
    <row r="81" spans="1:18" x14ac:dyDescent="0.25">
      <c r="A81" s="108"/>
      <c r="B81" s="108"/>
      <c r="C81" s="108"/>
      <c r="D81" s="108"/>
      <c r="E81" s="108"/>
      <c r="F81" s="110"/>
      <c r="G81" s="51"/>
      <c r="H81" s="51"/>
      <c r="I81" s="51"/>
      <c r="J81" s="111"/>
      <c r="K81" s="112"/>
      <c r="L81" s="107"/>
      <c r="M81" s="107"/>
      <c r="N81" s="107"/>
      <c r="O81" s="107"/>
      <c r="P81" s="107"/>
      <c r="Q81" s="107"/>
      <c r="R81" s="107"/>
    </row>
    <row r="82" spans="1:18" x14ac:dyDescent="0.25">
      <c r="A82" s="108"/>
      <c r="B82" s="113"/>
      <c r="C82" s="114"/>
      <c r="D82" s="114"/>
      <c r="E82" s="114"/>
      <c r="F82" s="115"/>
      <c r="G82" s="116"/>
      <c r="H82" s="116"/>
      <c r="I82" s="116"/>
      <c r="J82" s="111"/>
      <c r="K82" s="117"/>
      <c r="L82" s="107"/>
      <c r="M82" s="107"/>
      <c r="N82" s="107"/>
      <c r="O82" s="107"/>
      <c r="P82" s="107"/>
      <c r="Q82" s="107"/>
      <c r="R82" s="107"/>
    </row>
    <row r="83" spans="1:18" x14ac:dyDescent="0.25">
      <c r="A83" s="108"/>
      <c r="B83" s="108"/>
      <c r="C83" s="108"/>
      <c r="D83" s="108"/>
      <c r="E83" s="108"/>
      <c r="F83" s="110"/>
      <c r="G83" s="51"/>
      <c r="H83" s="51"/>
      <c r="I83" s="51"/>
      <c r="J83" s="111"/>
      <c r="K83" s="112"/>
      <c r="L83" s="107"/>
      <c r="M83" s="107"/>
      <c r="N83" s="107"/>
      <c r="O83" s="107"/>
      <c r="P83" s="107"/>
      <c r="Q83" s="107"/>
      <c r="R83" s="107"/>
    </row>
    <row r="84" spans="1:18" x14ac:dyDescent="0.25">
      <c r="A84" s="108"/>
      <c r="B84" s="113"/>
      <c r="C84" s="114"/>
      <c r="D84" s="114"/>
      <c r="E84" s="114"/>
      <c r="F84" s="115"/>
      <c r="G84" s="116"/>
      <c r="H84" s="116"/>
      <c r="I84" s="116"/>
      <c r="J84" s="111"/>
      <c r="K84" s="117"/>
      <c r="L84" s="107"/>
      <c r="M84" s="107"/>
      <c r="N84" s="107"/>
      <c r="O84" s="107"/>
      <c r="P84" s="107"/>
      <c r="Q84" s="107"/>
      <c r="R84" s="107"/>
    </row>
    <row r="85" spans="1:18" x14ac:dyDescent="0.25">
      <c r="A85" s="108"/>
      <c r="B85" s="108"/>
      <c r="C85" s="108"/>
      <c r="D85" s="108"/>
      <c r="E85" s="108"/>
      <c r="F85" s="110"/>
      <c r="G85" s="51"/>
      <c r="H85" s="51"/>
      <c r="I85" s="51"/>
      <c r="J85" s="111"/>
      <c r="K85" s="112"/>
      <c r="L85" s="107"/>
      <c r="M85" s="107"/>
      <c r="N85" s="107"/>
      <c r="O85" s="107"/>
      <c r="P85" s="107"/>
      <c r="Q85" s="107"/>
      <c r="R85" s="107"/>
    </row>
    <row r="86" spans="1:18" x14ac:dyDescent="0.25">
      <c r="A86" s="108"/>
      <c r="B86" s="108"/>
      <c r="C86" s="108"/>
      <c r="D86" s="108"/>
      <c r="E86" s="108"/>
      <c r="F86" s="110"/>
      <c r="G86" s="51"/>
      <c r="H86" s="51"/>
      <c r="I86" s="51"/>
      <c r="J86" s="111"/>
      <c r="K86" s="112"/>
      <c r="L86" s="107"/>
      <c r="M86" s="107"/>
      <c r="N86" s="107"/>
      <c r="O86" s="107"/>
      <c r="P86" s="107"/>
      <c r="Q86" s="107"/>
      <c r="R86" s="107"/>
    </row>
    <row r="87" spans="1:18" x14ac:dyDescent="0.25">
      <c r="A87" s="108"/>
      <c r="B87" s="113"/>
      <c r="C87" s="114"/>
      <c r="D87" s="114"/>
      <c r="E87" s="114"/>
      <c r="F87" s="115"/>
      <c r="G87" s="116"/>
      <c r="H87" s="116"/>
      <c r="I87" s="116"/>
      <c r="J87" s="111"/>
      <c r="K87" s="117"/>
      <c r="L87" s="107"/>
      <c r="M87" s="107"/>
      <c r="N87" s="107"/>
      <c r="O87" s="107"/>
      <c r="P87" s="107"/>
      <c r="Q87" s="107"/>
      <c r="R87" s="107"/>
    </row>
    <row r="88" spans="1:18" x14ac:dyDescent="0.25">
      <c r="A88" s="108"/>
      <c r="B88" s="108"/>
      <c r="C88" s="108"/>
      <c r="D88" s="108"/>
      <c r="E88" s="108"/>
      <c r="F88" s="110"/>
      <c r="G88" s="51"/>
      <c r="H88" s="51"/>
      <c r="I88" s="51"/>
      <c r="J88" s="111"/>
      <c r="K88" s="112"/>
      <c r="L88" s="107"/>
      <c r="M88" s="107"/>
      <c r="N88" s="107"/>
      <c r="O88" s="107"/>
      <c r="P88" s="107"/>
      <c r="Q88" s="107"/>
      <c r="R88" s="107"/>
    </row>
    <row r="89" spans="1:18" x14ac:dyDescent="0.25">
      <c r="A89" s="108"/>
      <c r="B89" s="108"/>
      <c r="C89" s="108"/>
      <c r="D89" s="108"/>
      <c r="E89" s="108"/>
      <c r="F89" s="120"/>
      <c r="G89" s="122"/>
      <c r="H89" s="122"/>
      <c r="I89" s="122"/>
      <c r="J89" s="111"/>
      <c r="K89" s="112"/>
      <c r="L89" s="107"/>
      <c r="M89" s="107"/>
      <c r="N89" s="107"/>
      <c r="O89" s="107"/>
      <c r="P89" s="107"/>
      <c r="Q89" s="107"/>
      <c r="R89" s="107"/>
    </row>
    <row r="90" spans="1:18" x14ac:dyDescent="0.25">
      <c r="A90" s="108"/>
      <c r="B90" s="113"/>
      <c r="C90" s="114"/>
      <c r="D90" s="114"/>
      <c r="E90" s="114"/>
      <c r="F90" s="115"/>
      <c r="G90" s="116"/>
      <c r="H90" s="116"/>
      <c r="I90" s="116"/>
      <c r="J90" s="111"/>
      <c r="K90" s="117"/>
      <c r="L90" s="107"/>
      <c r="M90" s="107"/>
      <c r="N90" s="107"/>
      <c r="O90" s="107"/>
      <c r="P90" s="107"/>
      <c r="Q90" s="107"/>
      <c r="R90" s="107"/>
    </row>
    <row r="91" spans="1:18" x14ac:dyDescent="0.25">
      <c r="A91" s="108"/>
      <c r="B91" s="108"/>
      <c r="C91" s="108"/>
      <c r="D91" s="108"/>
      <c r="E91" s="108"/>
      <c r="F91" s="110"/>
      <c r="G91" s="51"/>
      <c r="H91" s="51"/>
      <c r="I91" s="51"/>
      <c r="J91" s="111"/>
      <c r="K91" s="112"/>
      <c r="L91" s="107"/>
      <c r="M91" s="107"/>
      <c r="N91" s="107"/>
      <c r="O91" s="107"/>
      <c r="P91" s="107"/>
      <c r="Q91" s="107"/>
      <c r="R91" s="107"/>
    </row>
    <row r="92" spans="1:18" x14ac:dyDescent="0.25">
      <c r="A92" s="108"/>
      <c r="B92" s="108"/>
      <c r="C92" s="108"/>
      <c r="D92" s="108"/>
      <c r="E92" s="108"/>
      <c r="F92" s="120"/>
      <c r="G92" s="122"/>
      <c r="H92" s="122"/>
      <c r="I92" s="122"/>
      <c r="J92" s="112"/>
      <c r="K92" s="112"/>
      <c r="L92" s="107"/>
      <c r="M92" s="107"/>
      <c r="N92" s="107"/>
      <c r="O92" s="107"/>
      <c r="P92" s="107"/>
      <c r="Q92" s="107"/>
      <c r="R92" s="107"/>
    </row>
    <row r="93" spans="1:18" x14ac:dyDescent="0.25">
      <c r="A93" s="108"/>
      <c r="B93" s="113"/>
      <c r="C93" s="114"/>
      <c r="D93" s="114"/>
      <c r="E93" s="114"/>
      <c r="F93" s="115"/>
      <c r="G93" s="116"/>
      <c r="H93" s="116"/>
      <c r="I93" s="116"/>
      <c r="J93" s="116"/>
      <c r="K93" s="117"/>
      <c r="L93" s="107"/>
      <c r="M93" s="107"/>
      <c r="N93" s="107"/>
      <c r="O93" s="107"/>
      <c r="P93" s="107"/>
      <c r="Q93" s="107"/>
      <c r="R93" s="107"/>
    </row>
    <row r="94" spans="1:18" x14ac:dyDescent="0.25">
      <c r="A94" s="108"/>
      <c r="B94" s="108"/>
      <c r="C94" s="108"/>
      <c r="D94" s="108"/>
      <c r="E94" s="108"/>
      <c r="F94" s="110"/>
      <c r="G94" s="51"/>
      <c r="H94" s="51"/>
      <c r="I94" s="51"/>
      <c r="J94" s="111"/>
      <c r="K94" s="112"/>
      <c r="L94" s="107"/>
      <c r="M94" s="107"/>
      <c r="N94" s="107"/>
      <c r="O94" s="107"/>
      <c r="P94" s="107"/>
      <c r="Q94" s="107"/>
      <c r="R94" s="107"/>
    </row>
    <row r="95" spans="1:18" x14ac:dyDescent="0.25">
      <c r="A95" s="108"/>
      <c r="B95" s="108"/>
      <c r="C95" s="108"/>
      <c r="D95" s="108"/>
      <c r="E95" s="108"/>
      <c r="F95" s="120"/>
      <c r="G95" s="122"/>
      <c r="H95" s="122"/>
      <c r="I95" s="122"/>
      <c r="J95" s="111"/>
      <c r="K95" s="112"/>
      <c r="L95" s="107"/>
      <c r="M95" s="107"/>
      <c r="N95" s="107"/>
      <c r="O95" s="107"/>
      <c r="P95" s="107"/>
      <c r="Q95" s="107"/>
      <c r="R95" s="107"/>
    </row>
    <row r="96" spans="1:18" x14ac:dyDescent="0.25">
      <c r="A96" s="108"/>
      <c r="B96" s="108"/>
      <c r="C96" s="108"/>
      <c r="D96" s="108"/>
      <c r="E96" s="108"/>
      <c r="F96" s="110"/>
      <c r="G96" s="51"/>
      <c r="H96" s="51"/>
      <c r="I96" s="51"/>
      <c r="J96" s="111"/>
      <c r="K96" s="112"/>
      <c r="L96" s="107"/>
      <c r="M96" s="107"/>
      <c r="N96" s="107"/>
      <c r="O96" s="107"/>
      <c r="P96" s="107"/>
      <c r="Q96" s="107"/>
      <c r="R96" s="107"/>
    </row>
    <row r="97" spans="1:18" x14ac:dyDescent="0.25">
      <c r="A97" s="108"/>
      <c r="B97" s="113"/>
      <c r="C97" s="114"/>
      <c r="D97" s="114"/>
      <c r="E97" s="114"/>
      <c r="F97" s="115"/>
      <c r="G97" s="116"/>
      <c r="H97" s="116"/>
      <c r="I97" s="116"/>
      <c r="J97" s="111"/>
      <c r="K97" s="117"/>
      <c r="L97" s="107"/>
      <c r="M97" s="107"/>
      <c r="N97" s="107"/>
      <c r="O97" s="107"/>
      <c r="P97" s="107"/>
      <c r="Q97" s="107"/>
      <c r="R97" s="107"/>
    </row>
    <row r="98" spans="1:18" x14ac:dyDescent="0.25">
      <c r="A98" s="206"/>
      <c r="B98" s="207"/>
      <c r="C98" s="207"/>
      <c r="D98" s="118"/>
      <c r="E98" s="118"/>
      <c r="F98" s="110"/>
      <c r="G98" s="51"/>
      <c r="H98" s="51"/>
      <c r="I98" s="51"/>
      <c r="J98" s="111"/>
      <c r="K98" s="112"/>
      <c r="L98" s="107"/>
      <c r="M98" s="107"/>
      <c r="N98" s="107"/>
      <c r="O98" s="107"/>
      <c r="P98" s="107"/>
      <c r="Q98" s="107"/>
      <c r="R98" s="107"/>
    </row>
    <row r="99" spans="1:18" x14ac:dyDescent="0.25">
      <c r="A99" s="206"/>
      <c r="B99" s="207"/>
      <c r="C99" s="207"/>
      <c r="D99" s="118"/>
      <c r="E99" s="118"/>
      <c r="F99" s="110"/>
      <c r="G99" s="51"/>
      <c r="H99" s="51"/>
      <c r="I99" s="51"/>
      <c r="J99" s="111"/>
      <c r="K99" s="112"/>
      <c r="L99" s="107"/>
      <c r="M99" s="107"/>
      <c r="N99" s="107"/>
      <c r="O99" s="107"/>
      <c r="P99" s="107"/>
      <c r="Q99" s="107"/>
      <c r="R99" s="107"/>
    </row>
    <row r="100" spans="1:18" x14ac:dyDescent="0.25">
      <c r="A100" s="206"/>
      <c r="B100" s="113"/>
      <c r="C100" s="114"/>
      <c r="D100" s="114"/>
      <c r="E100" s="114"/>
      <c r="F100" s="115"/>
      <c r="G100" s="116"/>
      <c r="H100" s="116"/>
      <c r="I100" s="116"/>
      <c r="J100" s="111"/>
      <c r="K100" s="117"/>
      <c r="L100" s="107"/>
      <c r="M100" s="107"/>
      <c r="N100" s="107"/>
      <c r="O100" s="107"/>
      <c r="P100" s="107"/>
      <c r="Q100" s="107"/>
      <c r="R100" s="107"/>
    </row>
    <row r="101" spans="1:18" x14ac:dyDescent="0.25">
      <c r="A101" s="206"/>
      <c r="B101" s="207"/>
      <c r="C101" s="207"/>
      <c r="D101" s="118"/>
      <c r="E101" s="118"/>
      <c r="F101" s="110"/>
      <c r="G101" s="51"/>
      <c r="H101" s="51"/>
      <c r="I101" s="51"/>
      <c r="J101" s="111"/>
      <c r="K101" s="112"/>
      <c r="L101" s="107"/>
      <c r="M101" s="107"/>
      <c r="N101" s="107"/>
      <c r="O101" s="107"/>
      <c r="P101" s="107"/>
      <c r="Q101" s="107"/>
      <c r="R101" s="107"/>
    </row>
    <row r="102" spans="1:18" ht="30" customHeight="1" x14ac:dyDescent="0.25">
      <c r="A102" s="206"/>
      <c r="B102" s="207"/>
      <c r="C102" s="207"/>
      <c r="D102" s="118"/>
      <c r="E102" s="118"/>
      <c r="F102" s="110"/>
      <c r="G102" s="51"/>
      <c r="H102" s="51"/>
      <c r="I102" s="51"/>
      <c r="J102" s="111"/>
      <c r="K102" s="112"/>
      <c r="L102" s="107"/>
      <c r="M102" s="107"/>
      <c r="N102" s="107"/>
      <c r="O102" s="107"/>
      <c r="P102" s="107"/>
      <c r="Q102" s="107"/>
      <c r="R102" s="107"/>
    </row>
    <row r="103" spans="1:18" x14ac:dyDescent="0.25">
      <c r="A103" s="206"/>
      <c r="B103" s="113"/>
      <c r="C103" s="114"/>
      <c r="D103" s="114"/>
      <c r="E103" s="114"/>
      <c r="F103" s="115"/>
      <c r="G103" s="116"/>
      <c r="H103" s="116"/>
      <c r="I103" s="116"/>
      <c r="J103" s="116"/>
      <c r="K103" s="117"/>
      <c r="L103" s="107"/>
      <c r="M103" s="107"/>
      <c r="N103" s="107"/>
      <c r="O103" s="107"/>
      <c r="P103" s="107"/>
      <c r="Q103" s="107"/>
      <c r="R103" s="107"/>
    </row>
    <row r="104" spans="1:18" ht="15" customHeight="1" x14ac:dyDescent="0.25">
      <c r="A104" s="206"/>
      <c r="B104" s="207"/>
      <c r="C104" s="207"/>
      <c r="D104" s="118"/>
      <c r="E104" s="118"/>
      <c r="F104" s="110"/>
      <c r="G104" s="51"/>
      <c r="H104" s="51"/>
      <c r="I104" s="51"/>
      <c r="J104" s="111"/>
      <c r="K104" s="112"/>
      <c r="L104" s="107"/>
      <c r="M104" s="107"/>
      <c r="N104" s="107"/>
      <c r="O104" s="107"/>
      <c r="P104" s="107"/>
      <c r="Q104" s="107"/>
      <c r="R104" s="107"/>
    </row>
    <row r="105" spans="1:18" x14ac:dyDescent="0.25">
      <c r="A105" s="206"/>
      <c r="B105" s="207"/>
      <c r="C105" s="207"/>
      <c r="D105" s="118"/>
      <c r="E105" s="118"/>
      <c r="F105" s="120"/>
      <c r="G105" s="122"/>
      <c r="H105" s="122"/>
      <c r="I105" s="122"/>
      <c r="J105" s="111"/>
      <c r="K105" s="112"/>
      <c r="L105" s="107"/>
      <c r="M105" s="107"/>
      <c r="N105" s="107"/>
      <c r="O105" s="107"/>
      <c r="P105" s="107"/>
      <c r="Q105" s="107"/>
      <c r="R105" s="107"/>
    </row>
    <row r="106" spans="1:18" x14ac:dyDescent="0.25">
      <c r="A106" s="206"/>
      <c r="B106" s="207"/>
      <c r="C106" s="207"/>
      <c r="D106" s="118"/>
      <c r="E106" s="118"/>
      <c r="F106" s="110"/>
      <c r="G106" s="51"/>
      <c r="H106" s="51"/>
      <c r="I106" s="51"/>
      <c r="J106" s="111"/>
      <c r="K106" s="112"/>
      <c r="L106" s="107"/>
      <c r="M106" s="107"/>
      <c r="N106" s="107"/>
      <c r="O106" s="107"/>
      <c r="P106" s="107"/>
      <c r="Q106" s="107"/>
      <c r="R106" s="107"/>
    </row>
    <row r="107" spans="1:18" x14ac:dyDescent="0.25">
      <c r="A107" s="206"/>
      <c r="B107" s="207"/>
      <c r="C107" s="207"/>
      <c r="D107" s="118"/>
      <c r="E107" s="118"/>
      <c r="F107" s="110"/>
      <c r="G107" s="51"/>
      <c r="H107" s="51"/>
      <c r="I107" s="51"/>
      <c r="J107" s="112"/>
      <c r="K107" s="112"/>
      <c r="L107" s="107"/>
      <c r="M107" s="107"/>
      <c r="N107" s="107"/>
      <c r="O107" s="107"/>
      <c r="P107" s="107"/>
      <c r="Q107" s="107"/>
      <c r="R107" s="107"/>
    </row>
    <row r="108" spans="1:18" x14ac:dyDescent="0.25">
      <c r="A108" s="206"/>
      <c r="B108" s="113"/>
      <c r="C108" s="114"/>
      <c r="D108" s="114"/>
      <c r="E108" s="114"/>
      <c r="F108" s="115"/>
      <c r="G108" s="116"/>
      <c r="H108" s="116"/>
      <c r="I108" s="116"/>
      <c r="J108" s="117"/>
      <c r="K108" s="117"/>
      <c r="L108" s="107"/>
      <c r="M108" s="107"/>
      <c r="N108" s="107"/>
      <c r="O108" s="107"/>
      <c r="P108" s="107"/>
      <c r="Q108" s="107"/>
      <c r="R108" s="107"/>
    </row>
    <row r="109" spans="1:18" x14ac:dyDescent="0.25">
      <c r="A109" s="206"/>
      <c r="B109" s="207"/>
      <c r="C109" s="207"/>
      <c r="D109" s="118"/>
      <c r="E109" s="118"/>
      <c r="F109" s="110"/>
      <c r="G109" s="51"/>
      <c r="H109" s="51"/>
      <c r="I109" s="51"/>
      <c r="J109" s="111"/>
      <c r="K109" s="112"/>
      <c r="L109" s="107"/>
      <c r="M109" s="107"/>
      <c r="N109" s="107"/>
      <c r="O109" s="107"/>
      <c r="P109" s="107"/>
      <c r="Q109" s="107"/>
      <c r="R109" s="107"/>
    </row>
    <row r="110" spans="1:18" x14ac:dyDescent="0.25">
      <c r="A110" s="206"/>
      <c r="B110" s="207"/>
      <c r="C110" s="207"/>
      <c r="D110" s="118"/>
      <c r="E110" s="118"/>
      <c r="F110" s="120"/>
      <c r="G110" s="122"/>
      <c r="H110" s="122"/>
      <c r="I110" s="122"/>
      <c r="J110" s="111"/>
      <c r="K110" s="112"/>
      <c r="L110" s="107"/>
      <c r="M110" s="107"/>
      <c r="N110" s="107"/>
      <c r="O110" s="107"/>
      <c r="P110" s="107"/>
      <c r="Q110" s="107"/>
      <c r="R110" s="107"/>
    </row>
    <row r="111" spans="1:18" x14ac:dyDescent="0.25">
      <c r="A111" s="206"/>
      <c r="B111" s="207"/>
      <c r="C111" s="207"/>
      <c r="D111" s="118"/>
      <c r="E111" s="118"/>
      <c r="F111" s="110"/>
      <c r="G111" s="51"/>
      <c r="H111" s="51"/>
      <c r="I111" s="51"/>
      <c r="J111" s="111"/>
      <c r="K111" s="112"/>
      <c r="L111" s="107"/>
      <c r="M111" s="107"/>
      <c r="N111" s="107"/>
      <c r="O111" s="107"/>
      <c r="P111" s="107"/>
      <c r="Q111" s="107"/>
      <c r="R111" s="107"/>
    </row>
    <row r="112" spans="1:18" x14ac:dyDescent="0.25">
      <c r="A112" s="206"/>
      <c r="B112" s="113"/>
      <c r="C112" s="114"/>
      <c r="D112" s="114"/>
      <c r="E112" s="114"/>
      <c r="F112" s="115"/>
      <c r="G112" s="116"/>
      <c r="H112" s="116"/>
      <c r="I112" s="116"/>
      <c r="J112" s="111"/>
      <c r="K112" s="117"/>
      <c r="L112" s="107"/>
      <c r="M112" s="107"/>
      <c r="N112" s="107"/>
      <c r="O112" s="107"/>
      <c r="P112" s="107"/>
      <c r="Q112" s="107"/>
      <c r="R112" s="107"/>
    </row>
    <row r="113" spans="1:18" x14ac:dyDescent="0.25">
      <c r="A113" s="206"/>
      <c r="B113" s="207"/>
      <c r="C113" s="207"/>
      <c r="D113" s="118"/>
      <c r="E113" s="118"/>
      <c r="F113" s="110"/>
      <c r="G113" s="51"/>
      <c r="H113" s="51"/>
      <c r="I113" s="51"/>
      <c r="J113" s="111"/>
      <c r="K113" s="112"/>
      <c r="L113" s="107"/>
      <c r="M113" s="107"/>
      <c r="N113" s="107"/>
      <c r="O113" s="107"/>
      <c r="P113" s="107"/>
      <c r="Q113" s="107"/>
      <c r="R113" s="107"/>
    </row>
    <row r="114" spans="1:18" x14ac:dyDescent="0.25">
      <c r="A114" s="206"/>
      <c r="B114" s="207"/>
      <c r="C114" s="207"/>
      <c r="D114" s="118"/>
      <c r="E114" s="118"/>
      <c r="F114" s="120"/>
      <c r="G114" s="122"/>
      <c r="H114" s="122"/>
      <c r="I114" s="122"/>
      <c r="J114" s="111"/>
      <c r="K114" s="112"/>
      <c r="L114" s="107"/>
      <c r="M114" s="107"/>
      <c r="N114" s="107"/>
      <c r="O114" s="107"/>
      <c r="P114" s="107"/>
      <c r="Q114" s="107"/>
      <c r="R114" s="107"/>
    </row>
    <row r="115" spans="1:18" x14ac:dyDescent="0.25">
      <c r="A115" s="206"/>
      <c r="B115" s="207"/>
      <c r="C115" s="207"/>
      <c r="D115" s="118"/>
      <c r="E115" s="118"/>
      <c r="F115" s="110"/>
      <c r="G115" s="51"/>
      <c r="H115" s="51"/>
      <c r="I115" s="51"/>
      <c r="J115" s="111"/>
      <c r="K115" s="112"/>
      <c r="L115" s="107"/>
      <c r="M115" s="107"/>
      <c r="N115" s="107"/>
      <c r="O115" s="107"/>
      <c r="P115" s="107"/>
      <c r="Q115" s="107"/>
      <c r="R115" s="107"/>
    </row>
    <row r="116" spans="1:18" x14ac:dyDescent="0.25">
      <c r="A116" s="206"/>
      <c r="B116" s="207"/>
      <c r="C116" s="207"/>
      <c r="D116" s="118"/>
      <c r="E116" s="118"/>
      <c r="F116" s="110"/>
      <c r="G116" s="51"/>
      <c r="H116" s="51"/>
      <c r="I116" s="51"/>
      <c r="J116" s="112"/>
      <c r="K116" s="112"/>
      <c r="L116" s="107"/>
      <c r="M116" s="107"/>
      <c r="N116" s="107"/>
      <c r="O116" s="107"/>
      <c r="P116" s="107"/>
      <c r="Q116" s="107"/>
      <c r="R116" s="107"/>
    </row>
    <row r="117" spans="1:18" x14ac:dyDescent="0.25">
      <c r="A117" s="206"/>
      <c r="B117" s="113"/>
      <c r="C117" s="114"/>
      <c r="D117" s="114"/>
      <c r="E117" s="114"/>
      <c r="F117" s="115"/>
      <c r="G117" s="116"/>
      <c r="H117" s="116"/>
      <c r="I117" s="116"/>
      <c r="J117" s="106"/>
      <c r="K117" s="117"/>
      <c r="L117" s="107"/>
      <c r="M117" s="107"/>
      <c r="N117" s="107"/>
      <c r="O117" s="107"/>
      <c r="P117" s="107"/>
      <c r="Q117" s="107"/>
      <c r="R117" s="107"/>
    </row>
    <row r="118" spans="1:18" x14ac:dyDescent="0.25">
      <c r="A118" s="206"/>
      <c r="B118" s="207"/>
      <c r="C118" s="207"/>
      <c r="D118" s="118"/>
      <c r="E118" s="118"/>
      <c r="F118" s="110"/>
      <c r="G118" s="51"/>
      <c r="H118" s="51"/>
      <c r="I118" s="51"/>
      <c r="J118" s="111"/>
      <c r="K118" s="112"/>
      <c r="L118" s="107"/>
      <c r="M118" s="107"/>
      <c r="N118" s="107"/>
      <c r="O118" s="107"/>
      <c r="P118" s="107"/>
      <c r="Q118" s="107"/>
      <c r="R118" s="107"/>
    </row>
    <row r="119" spans="1:18" x14ac:dyDescent="0.25">
      <c r="A119" s="206"/>
      <c r="B119" s="207"/>
      <c r="C119" s="207"/>
      <c r="D119" s="118"/>
      <c r="E119" s="118"/>
      <c r="F119" s="120"/>
      <c r="G119" s="122"/>
      <c r="H119" s="122"/>
      <c r="I119" s="122"/>
      <c r="J119" s="111"/>
      <c r="K119" s="112"/>
      <c r="L119" s="107"/>
      <c r="M119" s="107"/>
      <c r="N119" s="107"/>
      <c r="O119" s="107"/>
      <c r="P119" s="107"/>
      <c r="Q119" s="107"/>
      <c r="R119" s="107"/>
    </row>
    <row r="120" spans="1:18" x14ac:dyDescent="0.25">
      <c r="A120" s="206"/>
      <c r="B120" s="207"/>
      <c r="C120" s="207"/>
      <c r="D120" s="118"/>
      <c r="E120" s="118"/>
      <c r="F120" s="110"/>
      <c r="G120" s="51"/>
      <c r="H120" s="51"/>
      <c r="I120" s="51"/>
      <c r="J120" s="111"/>
      <c r="K120" s="112"/>
      <c r="L120" s="107"/>
      <c r="M120" s="107"/>
      <c r="N120" s="107"/>
      <c r="O120" s="107"/>
      <c r="P120" s="107"/>
      <c r="Q120" s="107"/>
      <c r="R120" s="107"/>
    </row>
    <row r="121" spans="1:18" x14ac:dyDescent="0.25">
      <c r="A121" s="206"/>
      <c r="B121" s="207"/>
      <c r="C121" s="207"/>
      <c r="D121" s="118"/>
      <c r="E121" s="118"/>
      <c r="F121" s="110"/>
      <c r="G121" s="51"/>
      <c r="H121" s="51"/>
      <c r="I121" s="51"/>
      <c r="J121" s="111"/>
      <c r="K121" s="112"/>
      <c r="L121" s="107"/>
      <c r="M121" s="107"/>
      <c r="N121" s="107"/>
      <c r="O121" s="107"/>
      <c r="P121" s="107"/>
      <c r="Q121" s="107"/>
      <c r="R121" s="107"/>
    </row>
    <row r="122" spans="1:18" x14ac:dyDescent="0.25">
      <c r="A122" s="206"/>
      <c r="B122" s="113"/>
      <c r="C122" s="114"/>
      <c r="D122" s="114"/>
      <c r="E122" s="114"/>
      <c r="F122" s="115"/>
      <c r="G122" s="116"/>
      <c r="H122" s="116"/>
      <c r="I122" s="116"/>
      <c r="J122" s="111"/>
      <c r="K122" s="117"/>
      <c r="L122" s="107"/>
      <c r="M122" s="107"/>
      <c r="N122" s="107"/>
      <c r="O122" s="107"/>
      <c r="P122" s="107"/>
      <c r="Q122" s="107"/>
      <c r="R122" s="107"/>
    </row>
    <row r="123" spans="1:18" x14ac:dyDescent="0.25">
      <c r="A123" s="206"/>
      <c r="B123" s="207"/>
      <c r="C123" s="207"/>
      <c r="D123" s="118"/>
      <c r="E123" s="118"/>
      <c r="F123" s="110"/>
      <c r="G123" s="51"/>
      <c r="H123" s="51"/>
      <c r="I123" s="51"/>
      <c r="J123" s="111"/>
      <c r="K123" s="112"/>
      <c r="L123" s="107"/>
      <c r="M123" s="107"/>
      <c r="N123" s="107"/>
      <c r="O123" s="107"/>
      <c r="P123" s="107"/>
      <c r="Q123" s="107"/>
      <c r="R123" s="107"/>
    </row>
    <row r="124" spans="1:18" x14ac:dyDescent="0.25">
      <c r="A124" s="206"/>
      <c r="B124" s="207"/>
      <c r="C124" s="207"/>
      <c r="D124" s="118"/>
      <c r="E124" s="118"/>
      <c r="F124" s="120"/>
      <c r="G124" s="122"/>
      <c r="H124" s="122"/>
      <c r="I124" s="122"/>
      <c r="J124" s="111"/>
      <c r="K124" s="112"/>
      <c r="L124" s="107"/>
      <c r="M124" s="107"/>
      <c r="N124" s="107"/>
      <c r="O124" s="107"/>
      <c r="P124" s="107"/>
      <c r="Q124" s="107"/>
      <c r="R124" s="107"/>
    </row>
    <row r="125" spans="1:18" x14ac:dyDescent="0.25">
      <c r="A125" s="206"/>
      <c r="B125" s="207"/>
      <c r="C125" s="207"/>
      <c r="D125" s="118"/>
      <c r="E125" s="118"/>
      <c r="F125" s="110"/>
      <c r="G125" s="51"/>
      <c r="H125" s="51"/>
      <c r="I125" s="51"/>
      <c r="J125" s="111"/>
      <c r="K125" s="112"/>
      <c r="L125" s="107"/>
      <c r="M125" s="107"/>
      <c r="N125" s="107"/>
      <c r="O125" s="107"/>
      <c r="P125" s="107"/>
      <c r="Q125" s="107"/>
      <c r="R125" s="107"/>
    </row>
    <row r="126" spans="1:18" x14ac:dyDescent="0.25">
      <c r="A126" s="206"/>
      <c r="B126" s="207"/>
      <c r="C126" s="207"/>
      <c r="D126" s="118"/>
      <c r="E126" s="118"/>
      <c r="F126" s="110"/>
      <c r="G126" s="51"/>
      <c r="H126" s="51"/>
      <c r="I126" s="51"/>
      <c r="J126" s="111"/>
      <c r="K126" s="112"/>
      <c r="L126" s="107"/>
      <c r="M126" s="107"/>
      <c r="N126" s="107"/>
      <c r="O126" s="107"/>
      <c r="P126" s="107"/>
      <c r="Q126" s="107"/>
      <c r="R126" s="107"/>
    </row>
    <row r="127" spans="1:18" x14ac:dyDescent="0.25">
      <c r="A127" s="206"/>
      <c r="B127" s="113"/>
      <c r="C127" s="114"/>
      <c r="D127" s="114"/>
      <c r="E127" s="114"/>
      <c r="F127" s="115"/>
      <c r="G127" s="116"/>
      <c r="H127" s="116"/>
      <c r="I127" s="116"/>
      <c r="J127" s="111"/>
      <c r="K127" s="117"/>
      <c r="L127" s="107"/>
      <c r="M127" s="107"/>
      <c r="N127" s="107"/>
      <c r="O127" s="107"/>
      <c r="P127" s="107"/>
      <c r="Q127" s="107"/>
      <c r="R127" s="107"/>
    </row>
    <row r="128" spans="1:18" x14ac:dyDescent="0.25">
      <c r="A128" s="206"/>
      <c r="B128" s="207"/>
      <c r="C128" s="207"/>
      <c r="D128" s="118"/>
      <c r="E128" s="118"/>
      <c r="F128" s="110"/>
      <c r="G128" s="51"/>
      <c r="H128" s="51"/>
      <c r="I128" s="51"/>
      <c r="J128" s="111"/>
      <c r="K128" s="112"/>
      <c r="L128" s="107"/>
      <c r="M128" s="107"/>
      <c r="N128" s="107"/>
      <c r="O128" s="107"/>
      <c r="P128" s="107"/>
      <c r="Q128" s="107"/>
      <c r="R128" s="107"/>
    </row>
    <row r="129" spans="1:18" x14ac:dyDescent="0.25">
      <c r="A129" s="206"/>
      <c r="B129" s="207"/>
      <c r="C129" s="207"/>
      <c r="D129" s="118"/>
      <c r="E129" s="118"/>
      <c r="F129" s="110"/>
      <c r="G129" s="51"/>
      <c r="H129" s="51"/>
      <c r="I129" s="51"/>
      <c r="J129" s="111"/>
      <c r="K129" s="112"/>
      <c r="L129" s="107"/>
      <c r="M129" s="107"/>
      <c r="N129" s="107"/>
      <c r="O129" s="107"/>
      <c r="P129" s="107"/>
      <c r="Q129" s="107"/>
      <c r="R129" s="107"/>
    </row>
    <row r="130" spans="1:18" x14ac:dyDescent="0.25">
      <c r="A130" s="206"/>
      <c r="B130" s="207"/>
      <c r="C130" s="207"/>
      <c r="D130" s="118"/>
      <c r="E130" s="118"/>
      <c r="F130" s="120"/>
      <c r="G130" s="122"/>
      <c r="H130" s="122"/>
      <c r="I130" s="122"/>
      <c r="J130" s="111"/>
      <c r="K130" s="112"/>
      <c r="L130" s="107"/>
      <c r="M130" s="107"/>
      <c r="N130" s="107"/>
      <c r="O130" s="107"/>
      <c r="P130" s="107"/>
      <c r="Q130" s="107"/>
      <c r="R130" s="107"/>
    </row>
    <row r="131" spans="1:18" x14ac:dyDescent="0.25">
      <c r="A131" s="206"/>
      <c r="B131" s="207"/>
      <c r="C131" s="207"/>
      <c r="D131" s="118"/>
      <c r="E131" s="118"/>
      <c r="F131" s="120"/>
      <c r="G131" s="122"/>
      <c r="H131" s="122"/>
      <c r="I131" s="122"/>
      <c r="J131" s="111"/>
      <c r="K131" s="112"/>
      <c r="L131" s="107"/>
      <c r="M131" s="107"/>
      <c r="N131" s="107"/>
      <c r="O131" s="107"/>
      <c r="P131" s="107"/>
      <c r="Q131" s="107"/>
      <c r="R131" s="107"/>
    </row>
    <row r="132" spans="1:18" x14ac:dyDescent="0.25">
      <c r="A132" s="206"/>
      <c r="B132" s="113"/>
      <c r="C132" s="114"/>
      <c r="D132" s="114"/>
      <c r="E132" s="114"/>
      <c r="F132" s="115"/>
      <c r="G132" s="116"/>
      <c r="H132" s="116"/>
      <c r="I132" s="116"/>
      <c r="J132" s="111"/>
      <c r="K132" s="117"/>
      <c r="L132" s="107"/>
      <c r="M132" s="107"/>
      <c r="N132" s="107"/>
      <c r="O132" s="107"/>
      <c r="P132" s="107"/>
      <c r="Q132" s="107"/>
      <c r="R132" s="107"/>
    </row>
    <row r="133" spans="1:18" x14ac:dyDescent="0.25">
      <c r="A133" s="206"/>
      <c r="B133" s="207"/>
      <c r="C133" s="207"/>
      <c r="D133" s="118"/>
      <c r="E133" s="118"/>
      <c r="F133" s="110"/>
      <c r="G133" s="51"/>
      <c r="H133" s="51"/>
      <c r="I133" s="51"/>
      <c r="J133" s="111"/>
      <c r="K133" s="112"/>
      <c r="L133" s="107"/>
      <c r="M133" s="107"/>
      <c r="N133" s="107"/>
      <c r="O133" s="107"/>
      <c r="P133" s="107"/>
      <c r="Q133" s="107"/>
      <c r="R133" s="107"/>
    </row>
    <row r="134" spans="1:18" x14ac:dyDescent="0.25">
      <c r="A134" s="206"/>
      <c r="B134" s="207"/>
      <c r="C134" s="207"/>
      <c r="D134" s="118"/>
      <c r="E134" s="118"/>
      <c r="F134" s="120"/>
      <c r="G134" s="122"/>
      <c r="H134" s="122"/>
      <c r="I134" s="122"/>
      <c r="J134" s="111"/>
      <c r="K134" s="112"/>
      <c r="L134" s="107"/>
      <c r="M134" s="107"/>
      <c r="N134" s="107"/>
      <c r="O134" s="107"/>
      <c r="P134" s="107"/>
      <c r="Q134" s="107"/>
      <c r="R134" s="107"/>
    </row>
    <row r="135" spans="1:18" x14ac:dyDescent="0.25">
      <c r="A135" s="206"/>
      <c r="B135" s="207"/>
      <c r="C135" s="207"/>
      <c r="D135" s="118"/>
      <c r="E135" s="118"/>
      <c r="F135" s="110"/>
      <c r="G135" s="51"/>
      <c r="H135" s="51"/>
      <c r="I135" s="51"/>
      <c r="J135" s="111"/>
      <c r="K135" s="112"/>
      <c r="L135" s="107"/>
      <c r="M135" s="107"/>
      <c r="N135" s="107"/>
      <c r="O135" s="107"/>
      <c r="P135" s="107"/>
      <c r="Q135" s="107"/>
      <c r="R135" s="107"/>
    </row>
    <row r="136" spans="1:18" x14ac:dyDescent="0.25">
      <c r="A136" s="206"/>
      <c r="B136" s="207"/>
      <c r="C136" s="207"/>
      <c r="D136" s="118"/>
      <c r="E136" s="118"/>
      <c r="F136" s="110"/>
      <c r="G136" s="51"/>
      <c r="H136" s="51"/>
      <c r="I136" s="51"/>
      <c r="J136" s="111"/>
      <c r="K136" s="112"/>
      <c r="L136" s="107"/>
      <c r="M136" s="107"/>
      <c r="N136" s="107"/>
      <c r="O136" s="107"/>
      <c r="P136" s="107"/>
      <c r="Q136" s="107"/>
      <c r="R136" s="107"/>
    </row>
    <row r="137" spans="1:18" x14ac:dyDescent="0.25">
      <c r="A137" s="206"/>
      <c r="B137" s="113"/>
      <c r="C137" s="114"/>
      <c r="D137" s="114"/>
      <c r="E137" s="114"/>
      <c r="F137" s="115"/>
      <c r="G137" s="116"/>
      <c r="H137" s="116"/>
      <c r="I137" s="116"/>
      <c r="J137" s="111"/>
      <c r="K137" s="117"/>
      <c r="L137" s="107"/>
      <c r="M137" s="107"/>
      <c r="N137" s="107"/>
      <c r="O137" s="107"/>
      <c r="P137" s="107"/>
      <c r="Q137" s="107"/>
      <c r="R137" s="107"/>
    </row>
    <row r="138" spans="1:18" x14ac:dyDescent="0.25">
      <c r="A138" s="206"/>
      <c r="B138" s="207"/>
      <c r="C138" s="207"/>
      <c r="D138" s="118"/>
      <c r="E138" s="118"/>
      <c r="F138" s="110"/>
      <c r="G138" s="51"/>
      <c r="H138" s="51"/>
      <c r="I138" s="51"/>
      <c r="J138" s="111"/>
      <c r="K138" s="112"/>
      <c r="L138" s="107"/>
      <c r="M138" s="107"/>
      <c r="N138" s="107"/>
      <c r="O138" s="107"/>
      <c r="P138" s="107"/>
      <c r="Q138" s="107"/>
      <c r="R138" s="107"/>
    </row>
    <row r="139" spans="1:18" x14ac:dyDescent="0.25">
      <c r="A139" s="206"/>
      <c r="B139" s="207"/>
      <c r="C139" s="207"/>
      <c r="D139" s="118"/>
      <c r="E139" s="118"/>
      <c r="F139" s="120"/>
      <c r="G139" s="122"/>
      <c r="H139" s="122"/>
      <c r="I139" s="122"/>
      <c r="J139" s="111"/>
      <c r="K139" s="112"/>
      <c r="L139" s="107"/>
      <c r="M139" s="107"/>
      <c r="N139" s="107"/>
      <c r="O139" s="107"/>
      <c r="P139" s="107"/>
      <c r="Q139" s="107"/>
      <c r="R139" s="107"/>
    </row>
    <row r="140" spans="1:18" x14ac:dyDescent="0.25">
      <c r="A140" s="206"/>
      <c r="B140" s="207"/>
      <c r="C140" s="207"/>
      <c r="D140" s="118"/>
      <c r="E140" s="118"/>
      <c r="F140" s="110"/>
      <c r="G140" s="51"/>
      <c r="H140" s="51"/>
      <c r="I140" s="51"/>
      <c r="J140" s="111"/>
      <c r="K140" s="112"/>
      <c r="L140" s="107"/>
      <c r="M140" s="107"/>
      <c r="N140" s="107"/>
      <c r="O140" s="107"/>
      <c r="P140" s="107"/>
      <c r="Q140" s="107"/>
      <c r="R140" s="107"/>
    </row>
    <row r="141" spans="1:18" x14ac:dyDescent="0.25">
      <c r="A141" s="206"/>
      <c r="B141" s="207"/>
      <c r="C141" s="207"/>
      <c r="D141" s="118"/>
      <c r="E141" s="118"/>
      <c r="F141" s="110"/>
      <c r="G141" s="51"/>
      <c r="H141" s="51"/>
      <c r="I141" s="51"/>
      <c r="J141" s="111"/>
      <c r="K141" s="112"/>
      <c r="L141" s="107"/>
      <c r="M141" s="107"/>
      <c r="N141" s="107"/>
      <c r="O141" s="107"/>
      <c r="P141" s="107"/>
      <c r="Q141" s="107"/>
      <c r="R141" s="107"/>
    </row>
    <row r="142" spans="1:18" x14ac:dyDescent="0.25">
      <c r="A142" s="206"/>
      <c r="B142" s="113"/>
      <c r="C142" s="114"/>
      <c r="D142" s="114"/>
      <c r="E142" s="114"/>
      <c r="F142" s="115"/>
      <c r="G142" s="116"/>
      <c r="H142" s="116"/>
      <c r="I142" s="116"/>
      <c r="J142" s="111"/>
      <c r="K142" s="117"/>
      <c r="L142" s="107"/>
      <c r="M142" s="107"/>
      <c r="N142" s="107"/>
      <c r="O142" s="107"/>
      <c r="P142" s="107"/>
      <c r="Q142" s="107"/>
      <c r="R142" s="107"/>
    </row>
    <row r="143" spans="1:18" x14ac:dyDescent="0.25">
      <c r="A143" s="206"/>
      <c r="B143" s="207"/>
      <c r="C143" s="207"/>
      <c r="D143" s="118"/>
      <c r="E143" s="118"/>
      <c r="F143" s="110"/>
      <c r="G143" s="51"/>
      <c r="H143" s="51"/>
      <c r="I143" s="51"/>
      <c r="J143" s="111"/>
      <c r="K143" s="112"/>
      <c r="L143" s="107"/>
      <c r="M143" s="107"/>
      <c r="N143" s="107"/>
      <c r="O143" s="107"/>
      <c r="P143" s="107"/>
      <c r="Q143" s="107"/>
      <c r="R143" s="107"/>
    </row>
    <row r="144" spans="1:18" x14ac:dyDescent="0.25">
      <c r="A144" s="206"/>
      <c r="B144" s="207"/>
      <c r="C144" s="207"/>
      <c r="D144" s="118"/>
      <c r="E144" s="118"/>
      <c r="F144" s="120"/>
      <c r="G144" s="122"/>
      <c r="H144" s="122"/>
      <c r="I144" s="122"/>
      <c r="J144" s="111"/>
      <c r="K144" s="112"/>
      <c r="L144" s="107"/>
      <c r="M144" s="107"/>
      <c r="N144" s="107"/>
      <c r="O144" s="107"/>
      <c r="P144" s="107"/>
      <c r="Q144" s="107"/>
      <c r="R144" s="107"/>
    </row>
    <row r="145" spans="1:18" x14ac:dyDescent="0.25">
      <c r="A145" s="206"/>
      <c r="B145" s="207"/>
      <c r="C145" s="207"/>
      <c r="D145" s="118"/>
      <c r="E145" s="118"/>
      <c r="F145" s="110"/>
      <c r="G145" s="51"/>
      <c r="H145" s="51"/>
      <c r="I145" s="51"/>
      <c r="J145" s="111"/>
      <c r="K145" s="112"/>
      <c r="L145" s="107"/>
      <c r="M145" s="107"/>
      <c r="N145" s="107"/>
      <c r="O145" s="107"/>
      <c r="P145" s="107"/>
      <c r="Q145" s="107"/>
      <c r="R145" s="107"/>
    </row>
    <row r="146" spans="1:18" x14ac:dyDescent="0.25">
      <c r="A146" s="206"/>
      <c r="B146" s="207"/>
      <c r="C146" s="207"/>
      <c r="D146" s="118"/>
      <c r="E146" s="118"/>
      <c r="F146" s="110"/>
      <c r="G146" s="51"/>
      <c r="H146" s="51"/>
      <c r="I146" s="51"/>
      <c r="J146" s="111"/>
      <c r="K146" s="112"/>
      <c r="L146" s="107"/>
      <c r="M146" s="107"/>
      <c r="N146" s="107"/>
      <c r="O146" s="107"/>
      <c r="P146" s="107"/>
      <c r="Q146" s="107"/>
      <c r="R146" s="107"/>
    </row>
    <row r="147" spans="1:18" x14ac:dyDescent="0.25">
      <c r="A147" s="206"/>
      <c r="B147" s="113"/>
      <c r="C147" s="114"/>
      <c r="D147" s="114"/>
      <c r="E147" s="114"/>
      <c r="F147" s="115"/>
      <c r="G147" s="116"/>
      <c r="H147" s="116"/>
      <c r="I147" s="116"/>
      <c r="J147" s="111"/>
      <c r="K147" s="117"/>
      <c r="L147" s="107"/>
      <c r="M147" s="107"/>
      <c r="N147" s="107"/>
      <c r="O147" s="107"/>
      <c r="P147" s="107"/>
      <c r="Q147" s="107"/>
      <c r="R147" s="107"/>
    </row>
    <row r="148" spans="1:18" x14ac:dyDescent="0.25">
      <c r="A148" s="206"/>
      <c r="B148" s="207"/>
      <c r="C148" s="207"/>
      <c r="D148" s="118"/>
      <c r="E148" s="118"/>
      <c r="F148" s="110"/>
      <c r="G148" s="51"/>
      <c r="H148" s="51"/>
      <c r="I148" s="51"/>
      <c r="J148" s="111"/>
      <c r="K148" s="112"/>
      <c r="L148" s="107"/>
      <c r="M148" s="107"/>
      <c r="N148" s="107"/>
      <c r="O148" s="107"/>
      <c r="P148" s="107"/>
      <c r="Q148" s="107"/>
      <c r="R148" s="107"/>
    </row>
    <row r="149" spans="1:18" x14ac:dyDescent="0.25">
      <c r="A149" s="206"/>
      <c r="B149" s="207"/>
      <c r="C149" s="207"/>
      <c r="D149" s="118"/>
      <c r="E149" s="118"/>
      <c r="F149" s="120"/>
      <c r="G149" s="122"/>
      <c r="H149" s="122"/>
      <c r="I149" s="122"/>
      <c r="J149" s="111"/>
      <c r="K149" s="112"/>
      <c r="L149" s="107"/>
      <c r="M149" s="107"/>
      <c r="N149" s="107"/>
      <c r="O149" s="107"/>
      <c r="P149" s="107"/>
      <c r="Q149" s="107"/>
      <c r="R149" s="107"/>
    </row>
    <row r="150" spans="1:18" x14ac:dyDescent="0.25">
      <c r="A150" s="206"/>
      <c r="B150" s="207"/>
      <c r="C150" s="207"/>
      <c r="D150" s="118"/>
      <c r="E150" s="118"/>
      <c r="F150" s="110"/>
      <c r="G150" s="51"/>
      <c r="H150" s="51"/>
      <c r="I150" s="51"/>
      <c r="J150" s="111"/>
      <c r="K150" s="112"/>
      <c r="L150" s="107"/>
      <c r="M150" s="107"/>
      <c r="N150" s="107"/>
      <c r="O150" s="107"/>
      <c r="P150" s="107"/>
      <c r="Q150" s="107"/>
      <c r="R150" s="107"/>
    </row>
    <row r="151" spans="1:18" x14ac:dyDescent="0.25">
      <c r="A151" s="206"/>
      <c r="B151" s="207"/>
      <c r="C151" s="207"/>
      <c r="D151" s="118"/>
      <c r="E151" s="118"/>
      <c r="F151" s="110"/>
      <c r="G151" s="51"/>
      <c r="H151" s="51"/>
      <c r="I151" s="51"/>
      <c r="J151" s="111"/>
      <c r="K151" s="112"/>
      <c r="L151" s="107"/>
      <c r="M151" s="107"/>
      <c r="N151" s="107"/>
      <c r="O151" s="107"/>
      <c r="P151" s="107"/>
      <c r="Q151" s="107"/>
      <c r="R151" s="107"/>
    </row>
    <row r="152" spans="1:18" x14ac:dyDescent="0.25">
      <c r="A152" s="206"/>
      <c r="B152" s="113"/>
      <c r="C152" s="114"/>
      <c r="D152" s="114"/>
      <c r="E152" s="114"/>
      <c r="F152" s="115"/>
      <c r="G152" s="116"/>
      <c r="H152" s="116"/>
      <c r="I152" s="116"/>
      <c r="J152" s="111"/>
      <c r="K152" s="117"/>
      <c r="L152" s="107"/>
      <c r="M152" s="107"/>
      <c r="N152" s="107"/>
      <c r="O152" s="107"/>
      <c r="P152" s="107"/>
      <c r="Q152" s="107"/>
      <c r="R152" s="107"/>
    </row>
    <row r="153" spans="1:18" x14ac:dyDescent="0.25">
      <c r="A153" s="206"/>
      <c r="B153" s="207"/>
      <c r="C153" s="207"/>
      <c r="D153" s="118"/>
      <c r="E153" s="118"/>
      <c r="F153" s="110"/>
      <c r="G153" s="51"/>
      <c r="H153" s="51"/>
      <c r="I153" s="51"/>
      <c r="J153" s="111"/>
      <c r="K153" s="112"/>
      <c r="L153" s="107"/>
      <c r="M153" s="107"/>
      <c r="N153" s="107"/>
      <c r="O153" s="107"/>
      <c r="P153" s="107"/>
      <c r="Q153" s="107"/>
      <c r="R153" s="107"/>
    </row>
    <row r="154" spans="1:18" x14ac:dyDescent="0.25">
      <c r="A154" s="206"/>
      <c r="B154" s="207"/>
      <c r="C154" s="207"/>
      <c r="D154" s="118"/>
      <c r="E154" s="118"/>
      <c r="F154" s="120"/>
      <c r="G154" s="122"/>
      <c r="H154" s="122"/>
      <c r="I154" s="122"/>
      <c r="J154" s="111"/>
      <c r="K154" s="112"/>
      <c r="L154" s="107"/>
      <c r="M154" s="107"/>
      <c r="N154" s="107"/>
      <c r="O154" s="107"/>
      <c r="P154" s="107"/>
      <c r="Q154" s="107"/>
      <c r="R154" s="107"/>
    </row>
    <row r="155" spans="1:18" x14ac:dyDescent="0.25">
      <c r="A155" s="206"/>
      <c r="B155" s="207"/>
      <c r="C155" s="207"/>
      <c r="D155" s="118"/>
      <c r="E155" s="118"/>
      <c r="F155" s="110"/>
      <c r="G155" s="51"/>
      <c r="H155" s="51"/>
      <c r="I155" s="51"/>
      <c r="J155" s="111"/>
      <c r="K155" s="112"/>
      <c r="L155" s="107"/>
      <c r="M155" s="107"/>
      <c r="N155" s="107"/>
      <c r="O155" s="107"/>
      <c r="P155" s="107"/>
      <c r="Q155" s="107"/>
      <c r="R155" s="107"/>
    </row>
    <row r="156" spans="1:18" x14ac:dyDescent="0.25">
      <c r="A156" s="206"/>
      <c r="B156" s="207"/>
      <c r="C156" s="207"/>
      <c r="D156" s="118"/>
      <c r="E156" s="118"/>
      <c r="F156" s="110"/>
      <c r="G156" s="51"/>
      <c r="H156" s="51"/>
      <c r="I156" s="51"/>
      <c r="J156" s="112"/>
      <c r="K156" s="112"/>
      <c r="L156" s="107"/>
      <c r="M156" s="107"/>
      <c r="N156" s="107"/>
      <c r="O156" s="107"/>
      <c r="P156" s="107"/>
      <c r="Q156" s="107"/>
      <c r="R156" s="107"/>
    </row>
    <row r="157" spans="1:18" x14ac:dyDescent="0.25">
      <c r="A157" s="206"/>
      <c r="B157" s="113"/>
      <c r="C157" s="114"/>
      <c r="D157" s="114"/>
      <c r="E157" s="114"/>
      <c r="F157" s="115"/>
      <c r="G157" s="116"/>
      <c r="H157" s="116"/>
      <c r="I157" s="116"/>
      <c r="J157" s="106"/>
      <c r="K157" s="117"/>
      <c r="L157" s="107"/>
      <c r="M157" s="107"/>
      <c r="N157" s="107"/>
      <c r="O157" s="107"/>
      <c r="P157" s="107"/>
      <c r="Q157" s="107"/>
      <c r="R157" s="107"/>
    </row>
    <row r="158" spans="1:18" x14ac:dyDescent="0.25">
      <c r="A158" s="206"/>
      <c r="B158" s="207"/>
      <c r="C158" s="207"/>
      <c r="D158" s="118"/>
      <c r="E158" s="118"/>
      <c r="F158" s="110"/>
      <c r="G158" s="51"/>
      <c r="H158" s="51"/>
      <c r="I158" s="51"/>
      <c r="J158" s="111"/>
      <c r="K158" s="112"/>
      <c r="L158" s="107"/>
      <c r="M158" s="107"/>
      <c r="N158" s="107"/>
      <c r="O158" s="107"/>
      <c r="P158" s="107"/>
      <c r="Q158" s="107"/>
      <c r="R158" s="107"/>
    </row>
    <row r="159" spans="1:18" x14ac:dyDescent="0.25">
      <c r="A159" s="206"/>
      <c r="B159" s="207"/>
      <c r="C159" s="207"/>
      <c r="D159" s="118"/>
      <c r="E159" s="118"/>
      <c r="F159" s="110"/>
      <c r="G159" s="51"/>
      <c r="H159" s="51"/>
      <c r="I159" s="51"/>
      <c r="J159" s="111"/>
      <c r="K159" s="112"/>
      <c r="L159" s="107"/>
      <c r="M159" s="107"/>
      <c r="N159" s="107"/>
      <c r="O159" s="107"/>
      <c r="P159" s="107"/>
      <c r="Q159" s="107"/>
      <c r="R159" s="107"/>
    </row>
    <row r="160" spans="1:18" x14ac:dyDescent="0.25">
      <c r="A160" s="206"/>
      <c r="B160" s="207"/>
      <c r="C160" s="207"/>
      <c r="D160" s="118"/>
      <c r="E160" s="118"/>
      <c r="F160" s="120"/>
      <c r="G160" s="122"/>
      <c r="H160" s="122"/>
      <c r="I160" s="122"/>
      <c r="J160" s="111"/>
      <c r="K160" s="112"/>
      <c r="L160" s="107"/>
      <c r="M160" s="107"/>
      <c r="N160" s="107"/>
      <c r="O160" s="107"/>
      <c r="P160" s="107"/>
      <c r="Q160" s="107"/>
      <c r="R160" s="107"/>
    </row>
    <row r="161" spans="1:18" x14ac:dyDescent="0.25">
      <c r="A161" s="206"/>
      <c r="B161" s="207"/>
      <c r="C161" s="207"/>
      <c r="D161" s="118"/>
      <c r="E161" s="118"/>
      <c r="F161" s="120"/>
      <c r="G161" s="122"/>
      <c r="H161" s="122"/>
      <c r="I161" s="122"/>
      <c r="J161" s="111"/>
      <c r="K161" s="112"/>
      <c r="L161" s="107"/>
      <c r="M161" s="107"/>
      <c r="N161" s="107"/>
      <c r="O161" s="107"/>
      <c r="P161" s="107"/>
      <c r="Q161" s="107"/>
      <c r="R161" s="107"/>
    </row>
    <row r="162" spans="1:18" x14ac:dyDescent="0.25">
      <c r="A162" s="206"/>
      <c r="B162" s="113"/>
      <c r="C162" s="114"/>
      <c r="D162" s="114"/>
      <c r="E162" s="114"/>
      <c r="F162" s="115"/>
      <c r="G162" s="116"/>
      <c r="H162" s="116"/>
      <c r="I162" s="116"/>
      <c r="J162" s="111"/>
      <c r="K162" s="117"/>
      <c r="L162" s="107"/>
      <c r="M162" s="107"/>
      <c r="N162" s="107"/>
      <c r="O162" s="107"/>
      <c r="P162" s="107"/>
      <c r="Q162" s="107"/>
      <c r="R162" s="107"/>
    </row>
    <row r="163" spans="1:18" x14ac:dyDescent="0.25">
      <c r="A163" s="206"/>
      <c r="B163" s="207"/>
      <c r="C163" s="207"/>
      <c r="D163" s="118"/>
      <c r="E163" s="118"/>
      <c r="F163" s="110"/>
      <c r="G163" s="51"/>
      <c r="H163" s="51"/>
      <c r="I163" s="51"/>
      <c r="J163" s="111"/>
      <c r="K163" s="112"/>
      <c r="L163" s="107"/>
      <c r="M163" s="107"/>
      <c r="N163" s="107"/>
      <c r="O163" s="107"/>
      <c r="P163" s="107"/>
      <c r="Q163" s="107"/>
      <c r="R163" s="107"/>
    </row>
    <row r="164" spans="1:18" x14ac:dyDescent="0.25">
      <c r="A164" s="206"/>
      <c r="B164" s="207"/>
      <c r="C164" s="207"/>
      <c r="D164" s="118"/>
      <c r="E164" s="118"/>
      <c r="F164" s="110"/>
      <c r="G164" s="51"/>
      <c r="H164" s="51"/>
      <c r="I164" s="51"/>
      <c r="J164" s="111"/>
      <c r="K164" s="112"/>
      <c r="L164" s="107"/>
      <c r="M164" s="107"/>
      <c r="N164" s="107"/>
      <c r="O164" s="107"/>
      <c r="P164" s="107"/>
      <c r="Q164" s="107"/>
      <c r="R164" s="107"/>
    </row>
    <row r="165" spans="1:18" x14ac:dyDescent="0.25">
      <c r="A165" s="206"/>
      <c r="B165" s="207"/>
      <c r="C165" s="207"/>
      <c r="D165" s="118"/>
      <c r="E165" s="118"/>
      <c r="F165" s="110"/>
      <c r="G165" s="51"/>
      <c r="H165" s="51"/>
      <c r="I165" s="51"/>
      <c r="J165" s="111"/>
      <c r="K165" s="112"/>
      <c r="L165" s="107"/>
      <c r="M165" s="107"/>
      <c r="N165" s="107"/>
      <c r="O165" s="107"/>
      <c r="P165" s="107"/>
      <c r="Q165" s="107"/>
      <c r="R165" s="107"/>
    </row>
    <row r="166" spans="1:18" x14ac:dyDescent="0.25">
      <c r="A166" s="206"/>
      <c r="B166" s="207"/>
      <c r="C166" s="207"/>
      <c r="D166" s="118"/>
      <c r="E166" s="118"/>
      <c r="F166" s="110"/>
      <c r="G166" s="51"/>
      <c r="H166" s="51"/>
      <c r="I166" s="51"/>
      <c r="J166" s="111"/>
      <c r="K166" s="112"/>
      <c r="L166" s="107"/>
      <c r="M166" s="107"/>
      <c r="N166" s="107"/>
      <c r="O166" s="107"/>
      <c r="P166" s="107"/>
      <c r="Q166" s="107"/>
      <c r="R166" s="107"/>
    </row>
    <row r="167" spans="1:18" x14ac:dyDescent="0.25">
      <c r="A167" s="206"/>
      <c r="B167" s="113"/>
      <c r="C167" s="114"/>
      <c r="D167" s="114"/>
      <c r="E167" s="114"/>
      <c r="F167" s="115"/>
      <c r="G167" s="116"/>
      <c r="H167" s="116"/>
      <c r="I167" s="116"/>
      <c r="J167" s="111"/>
      <c r="K167" s="117"/>
      <c r="L167" s="107"/>
      <c r="M167" s="107"/>
      <c r="N167" s="107"/>
      <c r="O167" s="107"/>
      <c r="P167" s="107"/>
      <c r="Q167" s="107"/>
      <c r="R167" s="107"/>
    </row>
    <row r="168" spans="1:18" x14ac:dyDescent="0.25">
      <c r="A168" s="206"/>
      <c r="B168" s="207"/>
      <c r="C168" s="207"/>
      <c r="D168" s="118"/>
      <c r="E168" s="118"/>
      <c r="F168" s="110"/>
      <c r="G168" s="51"/>
      <c r="H168" s="51"/>
      <c r="I168" s="51"/>
      <c r="J168" s="111"/>
      <c r="K168" s="112"/>
      <c r="L168" s="107"/>
      <c r="M168" s="107"/>
      <c r="N168" s="107"/>
      <c r="O168" s="107"/>
      <c r="P168" s="107"/>
      <c r="Q168" s="107"/>
      <c r="R168" s="107"/>
    </row>
    <row r="169" spans="1:18" x14ac:dyDescent="0.25">
      <c r="A169" s="206"/>
      <c r="B169" s="207"/>
      <c r="C169" s="207"/>
      <c r="D169" s="118"/>
      <c r="E169" s="118"/>
      <c r="F169" s="110"/>
      <c r="G169" s="122"/>
      <c r="H169" s="122"/>
      <c r="I169" s="122"/>
      <c r="J169" s="111"/>
      <c r="K169" s="112"/>
      <c r="L169" s="107"/>
      <c r="M169" s="107"/>
      <c r="N169" s="107"/>
      <c r="O169" s="107"/>
      <c r="P169" s="107"/>
      <c r="Q169" s="107"/>
      <c r="R169" s="107"/>
    </row>
    <row r="170" spans="1:18" x14ac:dyDescent="0.25">
      <c r="A170" s="206"/>
      <c r="B170" s="207"/>
      <c r="C170" s="207"/>
      <c r="D170" s="118"/>
      <c r="E170" s="118"/>
      <c r="F170" s="110"/>
      <c r="G170" s="51"/>
      <c r="H170" s="51"/>
      <c r="I170" s="51"/>
      <c r="J170" s="111"/>
      <c r="K170" s="112"/>
      <c r="L170" s="107"/>
      <c r="M170" s="107"/>
      <c r="N170" s="107"/>
      <c r="O170" s="107"/>
      <c r="P170" s="107"/>
      <c r="Q170" s="107"/>
      <c r="R170" s="107"/>
    </row>
    <row r="171" spans="1:18" x14ac:dyDescent="0.25">
      <c r="A171" s="206"/>
      <c r="B171" s="207"/>
      <c r="C171" s="207"/>
      <c r="D171" s="118"/>
      <c r="E171" s="118"/>
      <c r="F171" s="110"/>
      <c r="G171" s="51"/>
      <c r="H171" s="51"/>
      <c r="I171" s="51"/>
      <c r="J171" s="111"/>
      <c r="K171" s="112"/>
      <c r="L171" s="107"/>
      <c r="M171" s="107"/>
      <c r="N171" s="107"/>
      <c r="O171" s="107"/>
      <c r="P171" s="107"/>
      <c r="Q171" s="107"/>
      <c r="R171" s="107"/>
    </row>
    <row r="172" spans="1:18" x14ac:dyDescent="0.25">
      <c r="A172" s="206"/>
      <c r="B172" s="113"/>
      <c r="C172" s="114"/>
      <c r="D172" s="114"/>
      <c r="E172" s="114"/>
      <c r="F172" s="115"/>
      <c r="G172" s="116"/>
      <c r="H172" s="116"/>
      <c r="I172" s="116"/>
      <c r="J172" s="111"/>
      <c r="K172" s="117"/>
      <c r="L172" s="107"/>
      <c r="M172" s="107"/>
      <c r="N172" s="107"/>
      <c r="O172" s="107"/>
      <c r="P172" s="107"/>
      <c r="Q172" s="107"/>
      <c r="R172" s="107"/>
    </row>
    <row r="173" spans="1:18" x14ac:dyDescent="0.25">
      <c r="A173" s="206"/>
      <c r="B173" s="207"/>
      <c r="C173" s="207"/>
      <c r="D173" s="118"/>
      <c r="E173" s="118"/>
      <c r="F173" s="110"/>
      <c r="G173" s="51"/>
      <c r="H173" s="51"/>
      <c r="I173" s="51"/>
      <c r="J173" s="111"/>
      <c r="K173" s="112"/>
      <c r="L173" s="107"/>
      <c r="M173" s="107"/>
      <c r="N173" s="107"/>
      <c r="O173" s="107"/>
      <c r="P173" s="107"/>
      <c r="Q173" s="107"/>
      <c r="R173" s="107"/>
    </row>
    <row r="174" spans="1:18" x14ac:dyDescent="0.25">
      <c r="A174" s="206"/>
      <c r="B174" s="207"/>
      <c r="C174" s="207"/>
      <c r="D174" s="118"/>
      <c r="E174" s="118"/>
      <c r="F174" s="110"/>
      <c r="G174" s="122"/>
      <c r="H174" s="122"/>
      <c r="I174" s="122"/>
      <c r="J174" s="111"/>
      <c r="K174" s="112"/>
      <c r="L174" s="107"/>
      <c r="M174" s="107"/>
      <c r="N174" s="107"/>
      <c r="O174" s="107"/>
      <c r="P174" s="107"/>
      <c r="Q174" s="107"/>
      <c r="R174" s="107"/>
    </row>
    <row r="175" spans="1:18" x14ac:dyDescent="0.25">
      <c r="A175" s="206"/>
      <c r="B175" s="207"/>
      <c r="C175" s="207"/>
      <c r="D175" s="118"/>
      <c r="E175" s="118"/>
      <c r="F175" s="110"/>
      <c r="G175" s="51"/>
      <c r="H175" s="51"/>
      <c r="I175" s="51"/>
      <c r="J175" s="111"/>
      <c r="K175" s="112"/>
      <c r="L175" s="107"/>
      <c r="M175" s="107"/>
      <c r="N175" s="107"/>
      <c r="O175" s="107"/>
      <c r="P175" s="107"/>
      <c r="Q175" s="107"/>
      <c r="R175" s="107"/>
    </row>
    <row r="176" spans="1:18" x14ac:dyDescent="0.25">
      <c r="A176" s="206"/>
      <c r="B176" s="207"/>
      <c r="C176" s="207"/>
      <c r="D176" s="118"/>
      <c r="E176" s="118"/>
      <c r="F176" s="110"/>
      <c r="G176" s="51"/>
      <c r="H176" s="51"/>
      <c r="I176" s="51"/>
      <c r="J176" s="111"/>
      <c r="K176" s="112"/>
      <c r="L176" s="107"/>
      <c r="M176" s="107"/>
      <c r="N176" s="107"/>
      <c r="O176" s="107"/>
      <c r="P176" s="107"/>
      <c r="Q176" s="107"/>
      <c r="R176" s="107"/>
    </row>
    <row r="177" spans="1:18" x14ac:dyDescent="0.25">
      <c r="A177" s="206"/>
      <c r="B177" s="113"/>
      <c r="C177" s="114"/>
      <c r="D177" s="114"/>
      <c r="E177" s="114"/>
      <c r="F177" s="115"/>
      <c r="G177" s="116"/>
      <c r="H177" s="116"/>
      <c r="I177" s="116"/>
      <c r="J177" s="111"/>
      <c r="K177" s="117"/>
      <c r="L177" s="107"/>
      <c r="M177" s="107"/>
      <c r="N177" s="107"/>
      <c r="O177" s="107"/>
      <c r="P177" s="107"/>
      <c r="Q177" s="107"/>
      <c r="R177" s="107"/>
    </row>
    <row r="178" spans="1:18" x14ac:dyDescent="0.25">
      <c r="A178" s="206"/>
      <c r="B178" s="207"/>
      <c r="C178" s="207"/>
      <c r="D178" s="118"/>
      <c r="E178" s="118"/>
      <c r="F178" s="110"/>
      <c r="G178" s="51"/>
      <c r="H178" s="51"/>
      <c r="I178" s="51"/>
      <c r="J178" s="111"/>
      <c r="K178" s="112"/>
      <c r="L178" s="107"/>
      <c r="M178" s="107"/>
      <c r="N178" s="107"/>
      <c r="O178" s="107"/>
      <c r="P178" s="107"/>
      <c r="Q178" s="107"/>
      <c r="R178" s="107"/>
    </row>
    <row r="179" spans="1:18" x14ac:dyDescent="0.25">
      <c r="A179" s="206"/>
      <c r="B179" s="207"/>
      <c r="C179" s="207"/>
      <c r="D179" s="118"/>
      <c r="E179" s="118"/>
      <c r="F179" s="110"/>
      <c r="G179" s="51"/>
      <c r="H179" s="51"/>
      <c r="I179" s="51"/>
      <c r="J179" s="111"/>
      <c r="K179" s="112"/>
      <c r="L179" s="107"/>
      <c r="M179" s="107"/>
      <c r="N179" s="107"/>
      <c r="O179" s="107"/>
      <c r="P179" s="107"/>
      <c r="Q179" s="107"/>
      <c r="R179" s="107"/>
    </row>
    <row r="180" spans="1:18" x14ac:dyDescent="0.25">
      <c r="A180" s="206"/>
      <c r="B180" s="207"/>
      <c r="C180" s="207"/>
      <c r="D180" s="118"/>
      <c r="E180" s="118"/>
      <c r="F180" s="110"/>
      <c r="G180" s="122"/>
      <c r="H180" s="122"/>
      <c r="I180" s="122"/>
      <c r="J180" s="111"/>
      <c r="K180" s="112"/>
      <c r="L180" s="107"/>
      <c r="M180" s="107"/>
      <c r="N180" s="107"/>
      <c r="O180" s="107"/>
      <c r="P180" s="107"/>
      <c r="Q180" s="107"/>
      <c r="R180" s="107"/>
    </row>
    <row r="181" spans="1:18" x14ac:dyDescent="0.25">
      <c r="A181" s="206"/>
      <c r="B181" s="207"/>
      <c r="C181" s="207"/>
      <c r="D181" s="118"/>
      <c r="E181" s="118"/>
      <c r="F181" s="110"/>
      <c r="G181" s="122"/>
      <c r="H181" s="122"/>
      <c r="I181" s="122"/>
      <c r="J181" s="112"/>
      <c r="K181" s="112"/>
      <c r="L181" s="107"/>
      <c r="M181" s="107"/>
      <c r="N181" s="107"/>
      <c r="O181" s="107"/>
      <c r="P181" s="107"/>
      <c r="Q181" s="107"/>
      <c r="R181" s="107"/>
    </row>
    <row r="182" spans="1:18" x14ac:dyDescent="0.25">
      <c r="A182" s="206"/>
      <c r="B182" s="113"/>
      <c r="C182" s="114"/>
      <c r="D182" s="114"/>
      <c r="E182" s="114"/>
      <c r="F182" s="115"/>
      <c r="G182" s="116"/>
      <c r="H182" s="116"/>
      <c r="I182" s="116"/>
      <c r="J182" s="116"/>
      <c r="K182" s="117"/>
      <c r="L182" s="107"/>
      <c r="M182" s="107"/>
      <c r="N182" s="107"/>
      <c r="O182" s="107"/>
      <c r="P182" s="107"/>
      <c r="Q182" s="107"/>
      <c r="R182" s="107"/>
    </row>
    <row r="183" spans="1:18" x14ac:dyDescent="0.25">
      <c r="A183" s="206"/>
      <c r="B183" s="207"/>
      <c r="C183" s="207"/>
      <c r="D183" s="118"/>
      <c r="E183" s="118"/>
      <c r="F183" s="110"/>
      <c r="G183" s="51"/>
      <c r="H183" s="51"/>
      <c r="I183" s="51"/>
      <c r="J183" s="111"/>
      <c r="K183" s="112"/>
      <c r="L183" s="107"/>
      <c r="M183" s="107"/>
      <c r="N183" s="107"/>
      <c r="O183" s="107"/>
      <c r="P183" s="107"/>
      <c r="Q183" s="107"/>
      <c r="R183" s="107"/>
    </row>
    <row r="184" spans="1:18" x14ac:dyDescent="0.25">
      <c r="A184" s="206"/>
      <c r="B184" s="207"/>
      <c r="C184" s="207"/>
      <c r="D184" s="118"/>
      <c r="E184" s="118"/>
      <c r="F184" s="110"/>
      <c r="G184" s="51"/>
      <c r="H184" s="51"/>
      <c r="I184" s="51"/>
      <c r="J184" s="111"/>
      <c r="K184" s="112"/>
      <c r="L184" s="107"/>
      <c r="M184" s="107"/>
      <c r="N184" s="107"/>
      <c r="O184" s="107"/>
      <c r="P184" s="107"/>
      <c r="Q184" s="107"/>
      <c r="R184" s="107"/>
    </row>
    <row r="185" spans="1:18" x14ac:dyDescent="0.25">
      <c r="A185" s="206"/>
      <c r="B185" s="207"/>
      <c r="C185" s="207"/>
      <c r="D185" s="118"/>
      <c r="E185" s="118"/>
      <c r="F185" s="110"/>
      <c r="G185" s="122"/>
      <c r="H185" s="122"/>
      <c r="I185" s="122"/>
      <c r="J185" s="111"/>
      <c r="K185" s="112"/>
      <c r="L185" s="107"/>
      <c r="M185" s="107"/>
      <c r="N185" s="107"/>
      <c r="O185" s="107"/>
      <c r="P185" s="107"/>
      <c r="Q185" s="107"/>
      <c r="R185" s="107"/>
    </row>
    <row r="186" spans="1:18" x14ac:dyDescent="0.25">
      <c r="A186" s="206"/>
      <c r="B186" s="207"/>
      <c r="C186" s="207"/>
      <c r="D186" s="118"/>
      <c r="E186" s="118"/>
      <c r="F186" s="110"/>
      <c r="G186" s="122"/>
      <c r="H186" s="122"/>
      <c r="I186" s="122"/>
      <c r="J186" s="111"/>
      <c r="K186" s="112"/>
      <c r="L186" s="107"/>
      <c r="M186" s="107"/>
      <c r="N186" s="107"/>
      <c r="O186" s="107"/>
      <c r="P186" s="107"/>
      <c r="Q186" s="107"/>
      <c r="R186" s="107"/>
    </row>
    <row r="187" spans="1:18" x14ac:dyDescent="0.25">
      <c r="A187" s="206"/>
      <c r="B187" s="113"/>
      <c r="C187" s="114"/>
      <c r="D187" s="114"/>
      <c r="E187" s="114"/>
      <c r="F187" s="115"/>
      <c r="G187" s="116"/>
      <c r="H187" s="116"/>
      <c r="I187" s="116"/>
      <c r="J187" s="111"/>
      <c r="K187" s="117"/>
      <c r="L187" s="107"/>
      <c r="M187" s="107"/>
      <c r="N187" s="107"/>
      <c r="O187" s="107"/>
      <c r="P187" s="107"/>
      <c r="Q187" s="107"/>
      <c r="R187" s="107"/>
    </row>
    <row r="188" spans="1:18" x14ac:dyDescent="0.25">
      <c r="A188" s="206"/>
      <c r="B188" s="207"/>
      <c r="C188" s="207"/>
      <c r="D188" s="118"/>
      <c r="E188" s="118"/>
      <c r="F188" s="110"/>
      <c r="G188" s="51"/>
      <c r="H188" s="51"/>
      <c r="I188" s="51"/>
      <c r="J188" s="111"/>
      <c r="K188" s="112"/>
      <c r="L188" s="107"/>
      <c r="M188" s="107"/>
      <c r="N188" s="107"/>
      <c r="O188" s="107"/>
      <c r="P188" s="107"/>
      <c r="Q188" s="107"/>
      <c r="R188" s="107"/>
    </row>
    <row r="189" spans="1:18" x14ac:dyDescent="0.25">
      <c r="A189" s="206"/>
      <c r="B189" s="207"/>
      <c r="C189" s="207"/>
      <c r="D189" s="118"/>
      <c r="E189" s="118"/>
      <c r="F189" s="110"/>
      <c r="G189" s="51"/>
      <c r="H189" s="51"/>
      <c r="I189" s="51"/>
      <c r="J189" s="111"/>
      <c r="K189" s="112"/>
      <c r="L189" s="107"/>
      <c r="M189" s="107"/>
      <c r="N189" s="107"/>
      <c r="O189" s="107"/>
      <c r="P189" s="107"/>
      <c r="Q189" s="107"/>
      <c r="R189" s="107"/>
    </row>
    <row r="190" spans="1:18" x14ac:dyDescent="0.25">
      <c r="A190" s="206"/>
      <c r="B190" s="207"/>
      <c r="C190" s="207"/>
      <c r="D190" s="118"/>
      <c r="E190" s="118"/>
      <c r="F190" s="110"/>
      <c r="G190" s="51"/>
      <c r="H190" s="51"/>
      <c r="I190" s="51"/>
      <c r="J190" s="111"/>
      <c r="K190" s="112"/>
      <c r="L190" s="107"/>
      <c r="M190" s="107"/>
      <c r="N190" s="107"/>
      <c r="O190" s="107"/>
      <c r="P190" s="107"/>
      <c r="Q190" s="107"/>
      <c r="R190" s="107"/>
    </row>
    <row r="191" spans="1:18" x14ac:dyDescent="0.25">
      <c r="A191" s="206"/>
      <c r="B191" s="207"/>
      <c r="C191" s="207"/>
      <c r="D191" s="118"/>
      <c r="E191" s="118"/>
      <c r="F191" s="110"/>
      <c r="G191" s="51"/>
      <c r="H191" s="51"/>
      <c r="I191" s="51"/>
      <c r="J191" s="111"/>
      <c r="K191" s="112"/>
      <c r="L191" s="107"/>
      <c r="M191" s="107"/>
      <c r="N191" s="107"/>
      <c r="O191" s="107"/>
      <c r="P191" s="107"/>
      <c r="Q191" s="107"/>
      <c r="R191" s="107"/>
    </row>
    <row r="192" spans="1:18" x14ac:dyDescent="0.25">
      <c r="A192" s="206"/>
      <c r="B192" s="113"/>
      <c r="C192" s="114"/>
      <c r="D192" s="114"/>
      <c r="E192" s="114"/>
      <c r="F192" s="115"/>
      <c r="G192" s="116"/>
      <c r="H192" s="116"/>
      <c r="I192" s="116"/>
      <c r="J192" s="111"/>
      <c r="K192" s="117"/>
      <c r="L192" s="107"/>
      <c r="M192" s="107"/>
      <c r="N192" s="107"/>
      <c r="O192" s="107"/>
      <c r="P192" s="107"/>
      <c r="Q192" s="107"/>
      <c r="R192" s="107"/>
    </row>
    <row r="193" spans="1:18" x14ac:dyDescent="0.25">
      <c r="A193" s="206"/>
      <c r="B193" s="207"/>
      <c r="C193" s="207"/>
      <c r="D193" s="118"/>
      <c r="E193" s="118"/>
      <c r="F193" s="110"/>
      <c r="G193" s="51"/>
      <c r="H193" s="51"/>
      <c r="I193" s="51"/>
      <c r="J193" s="111"/>
      <c r="K193" s="112"/>
      <c r="L193" s="107"/>
      <c r="M193" s="107"/>
      <c r="N193" s="107"/>
      <c r="O193" s="107"/>
      <c r="P193" s="107"/>
      <c r="Q193" s="107"/>
      <c r="R193" s="107"/>
    </row>
    <row r="194" spans="1:18" x14ac:dyDescent="0.25">
      <c r="A194" s="206"/>
      <c r="B194" s="207"/>
      <c r="C194" s="207"/>
      <c r="D194" s="118"/>
      <c r="E194" s="118"/>
      <c r="F194" s="110"/>
      <c r="G194" s="51"/>
      <c r="H194" s="51"/>
      <c r="I194" s="51"/>
      <c r="J194" s="111"/>
      <c r="K194" s="112"/>
      <c r="L194" s="107"/>
      <c r="M194" s="107"/>
      <c r="N194" s="107"/>
      <c r="O194" s="107"/>
      <c r="P194" s="107"/>
      <c r="Q194" s="107"/>
      <c r="R194" s="107"/>
    </row>
    <row r="195" spans="1:18" x14ac:dyDescent="0.25">
      <c r="A195" s="206"/>
      <c r="B195" s="207"/>
      <c r="C195" s="207"/>
      <c r="D195" s="118"/>
      <c r="E195" s="118"/>
      <c r="F195" s="110"/>
      <c r="G195" s="122"/>
      <c r="H195" s="122"/>
      <c r="I195" s="122"/>
      <c r="J195" s="111"/>
      <c r="K195" s="112"/>
      <c r="L195" s="107"/>
      <c r="M195" s="107"/>
      <c r="N195" s="107"/>
      <c r="O195" s="107"/>
      <c r="P195" s="107"/>
      <c r="Q195" s="107"/>
      <c r="R195" s="107"/>
    </row>
    <row r="196" spans="1:18" x14ac:dyDescent="0.25">
      <c r="A196" s="206"/>
      <c r="B196" s="207"/>
      <c r="C196" s="207"/>
      <c r="D196" s="118"/>
      <c r="E196" s="118"/>
      <c r="F196" s="110"/>
      <c r="G196" s="122"/>
      <c r="H196" s="122"/>
      <c r="I196" s="122"/>
      <c r="J196" s="111"/>
      <c r="K196" s="112"/>
      <c r="L196" s="107"/>
      <c r="M196" s="107"/>
      <c r="N196" s="107"/>
      <c r="O196" s="107"/>
      <c r="P196" s="107"/>
      <c r="Q196" s="107"/>
      <c r="R196" s="107"/>
    </row>
    <row r="197" spans="1:18" x14ac:dyDescent="0.25">
      <c r="A197" s="206"/>
      <c r="B197" s="113"/>
      <c r="C197" s="114"/>
      <c r="D197" s="114"/>
      <c r="E197" s="114"/>
      <c r="F197" s="115"/>
      <c r="G197" s="116"/>
      <c r="H197" s="116"/>
      <c r="I197" s="116"/>
      <c r="J197" s="111"/>
      <c r="K197" s="117"/>
      <c r="L197" s="107"/>
      <c r="M197" s="107"/>
      <c r="N197" s="107"/>
      <c r="O197" s="107"/>
      <c r="P197" s="107"/>
      <c r="Q197" s="107"/>
      <c r="R197" s="107"/>
    </row>
    <row r="198" spans="1:18" x14ac:dyDescent="0.25">
      <c r="A198" s="206"/>
      <c r="B198" s="207"/>
      <c r="C198" s="207"/>
      <c r="D198" s="118"/>
      <c r="E198" s="118"/>
      <c r="F198" s="110"/>
      <c r="G198" s="51"/>
      <c r="H198" s="51"/>
      <c r="I198" s="51"/>
      <c r="J198" s="112"/>
      <c r="K198" s="112"/>
      <c r="L198" s="107"/>
      <c r="M198" s="107"/>
      <c r="N198" s="107"/>
      <c r="O198" s="107"/>
      <c r="P198" s="107"/>
      <c r="Q198" s="107"/>
      <c r="R198" s="107"/>
    </row>
    <row r="199" spans="1:18" x14ac:dyDescent="0.25">
      <c r="A199" s="206"/>
      <c r="B199" s="207"/>
      <c r="C199" s="207"/>
      <c r="D199" s="118"/>
      <c r="E199" s="118"/>
      <c r="F199" s="110"/>
      <c r="G199" s="51"/>
      <c r="H199" s="51"/>
      <c r="I199" s="51"/>
      <c r="J199" s="111"/>
      <c r="K199" s="112"/>
      <c r="L199" s="107"/>
      <c r="M199" s="107"/>
      <c r="N199" s="107"/>
      <c r="O199" s="107"/>
      <c r="P199" s="107"/>
      <c r="Q199" s="107"/>
      <c r="R199" s="107"/>
    </row>
    <row r="200" spans="1:18" x14ac:dyDescent="0.25">
      <c r="A200" s="206"/>
      <c r="B200" s="207"/>
      <c r="C200" s="207"/>
      <c r="D200" s="118"/>
      <c r="E200" s="118"/>
      <c r="F200" s="110"/>
      <c r="G200" s="51"/>
      <c r="H200" s="51"/>
      <c r="I200" s="51"/>
      <c r="J200" s="111"/>
      <c r="K200" s="112"/>
      <c r="L200" s="107"/>
      <c r="M200" s="107"/>
      <c r="N200" s="107"/>
      <c r="O200" s="107"/>
      <c r="P200" s="107"/>
      <c r="Q200" s="107"/>
      <c r="R200" s="107"/>
    </row>
    <row r="201" spans="1:18" x14ac:dyDescent="0.25">
      <c r="A201" s="206"/>
      <c r="B201" s="113"/>
      <c r="C201" s="114"/>
      <c r="D201" s="114"/>
      <c r="E201" s="114"/>
      <c r="F201" s="115"/>
      <c r="G201" s="116"/>
      <c r="H201" s="116"/>
      <c r="I201" s="116"/>
      <c r="J201" s="116"/>
      <c r="K201" s="117"/>
      <c r="L201" s="107"/>
      <c r="M201" s="107"/>
      <c r="N201" s="107"/>
      <c r="O201" s="107"/>
      <c r="P201" s="107"/>
      <c r="Q201" s="107"/>
      <c r="R201" s="107"/>
    </row>
    <row r="202" spans="1:18" x14ac:dyDescent="0.25">
      <c r="A202" s="206"/>
      <c r="B202" s="207"/>
      <c r="C202" s="207"/>
      <c r="D202" s="118"/>
      <c r="E202" s="118"/>
      <c r="F202" s="110"/>
      <c r="G202" s="51"/>
      <c r="H202" s="51"/>
      <c r="I202" s="51"/>
      <c r="J202" s="111"/>
      <c r="K202" s="112"/>
      <c r="L202" s="107"/>
      <c r="M202" s="107"/>
      <c r="N202" s="107"/>
      <c r="O202" s="107"/>
      <c r="P202" s="107"/>
      <c r="Q202" s="107"/>
      <c r="R202" s="107"/>
    </row>
    <row r="203" spans="1:18" x14ac:dyDescent="0.25">
      <c r="A203" s="206"/>
      <c r="B203" s="207"/>
      <c r="C203" s="207"/>
      <c r="D203" s="118"/>
      <c r="E203" s="118"/>
      <c r="F203" s="110"/>
      <c r="G203" s="51"/>
      <c r="H203" s="51"/>
      <c r="I203" s="51"/>
      <c r="J203" s="111"/>
      <c r="K203" s="112"/>
      <c r="L203" s="107"/>
      <c r="M203" s="107"/>
      <c r="N203" s="107"/>
      <c r="O203" s="107"/>
      <c r="P203" s="107"/>
      <c r="Q203" s="107"/>
      <c r="R203" s="107"/>
    </row>
    <row r="204" spans="1:18" x14ac:dyDescent="0.25">
      <c r="A204" s="206"/>
      <c r="B204" s="207"/>
      <c r="C204" s="207"/>
      <c r="D204" s="118"/>
      <c r="E204" s="118"/>
      <c r="F204" s="110"/>
      <c r="G204" s="51"/>
      <c r="H204" s="51"/>
      <c r="I204" s="51"/>
      <c r="J204" s="111"/>
      <c r="K204" s="112"/>
      <c r="L204" s="107"/>
      <c r="M204" s="107"/>
      <c r="N204" s="107"/>
      <c r="O204" s="107"/>
      <c r="P204" s="107"/>
      <c r="Q204" s="107"/>
      <c r="R204" s="107"/>
    </row>
    <row r="205" spans="1:18" x14ac:dyDescent="0.25">
      <c r="A205" s="206"/>
      <c r="B205" s="207"/>
      <c r="C205" s="207"/>
      <c r="D205" s="118"/>
      <c r="E205" s="118"/>
      <c r="F205" s="110"/>
      <c r="G205" s="51"/>
      <c r="H205" s="51"/>
      <c r="I205" s="51"/>
      <c r="J205" s="111"/>
      <c r="K205" s="112"/>
      <c r="L205" s="107"/>
      <c r="M205" s="107"/>
      <c r="N205" s="107"/>
      <c r="O205" s="107"/>
      <c r="P205" s="107"/>
      <c r="Q205" s="107"/>
      <c r="R205" s="107"/>
    </row>
    <row r="206" spans="1:18" x14ac:dyDescent="0.25">
      <c r="A206" s="206"/>
      <c r="B206" s="113"/>
      <c r="C206" s="114"/>
      <c r="D206" s="114"/>
      <c r="E206" s="114"/>
      <c r="F206" s="115"/>
      <c r="G206" s="116"/>
      <c r="H206" s="116"/>
      <c r="I206" s="116"/>
      <c r="J206" s="111"/>
      <c r="K206" s="117"/>
      <c r="L206" s="107"/>
      <c r="M206" s="107"/>
      <c r="N206" s="107"/>
      <c r="O206" s="107"/>
      <c r="P206" s="107"/>
      <c r="Q206" s="107"/>
      <c r="R206" s="107"/>
    </row>
    <row r="207" spans="1:18" x14ac:dyDescent="0.25">
      <c r="A207" s="204"/>
      <c r="B207" s="204"/>
      <c r="C207" s="204"/>
      <c r="D207" s="124"/>
      <c r="E207" s="124"/>
      <c r="F207" s="125"/>
      <c r="G207" s="116"/>
      <c r="H207" s="116"/>
      <c r="I207" s="116"/>
      <c r="J207" s="116"/>
      <c r="K207" s="117"/>
      <c r="L207" s="107"/>
      <c r="M207" s="107"/>
      <c r="N207" s="107"/>
      <c r="O207" s="107"/>
      <c r="P207" s="107"/>
      <c r="Q207" s="107"/>
      <c r="R207" s="107"/>
    </row>
    <row r="208" spans="1:18" x14ac:dyDescent="0.25">
      <c r="A208" s="126"/>
      <c r="B208" s="126"/>
      <c r="C208" s="126"/>
      <c r="D208" s="126"/>
      <c r="E208" s="126"/>
      <c r="F208" s="127"/>
      <c r="G208" s="126"/>
      <c r="H208" s="126"/>
      <c r="I208" s="126"/>
      <c r="J208" s="111"/>
      <c r="K208" s="111"/>
      <c r="L208" s="107"/>
      <c r="M208" s="107"/>
      <c r="N208" s="107"/>
      <c r="O208" s="107"/>
      <c r="P208" s="107"/>
      <c r="Q208" s="107"/>
      <c r="R208" s="107"/>
    </row>
    <row r="209" spans="1:18" x14ac:dyDescent="0.25">
      <c r="A209" s="126"/>
      <c r="B209" s="105"/>
      <c r="C209" s="205"/>
      <c r="D209" s="205"/>
      <c r="E209" s="205"/>
      <c r="F209" s="205"/>
      <c r="G209" s="105"/>
      <c r="H209" s="180"/>
      <c r="I209" s="180"/>
      <c r="J209" s="106"/>
      <c r="K209" s="106"/>
      <c r="L209" s="107"/>
      <c r="M209" s="107"/>
      <c r="N209" s="107"/>
      <c r="O209" s="107"/>
      <c r="P209" s="107"/>
      <c r="Q209" s="107"/>
      <c r="R209" s="107"/>
    </row>
    <row r="210" spans="1:18" x14ac:dyDescent="0.25">
      <c r="A210" s="126"/>
      <c r="B210" s="128"/>
      <c r="C210" s="203"/>
      <c r="D210" s="203"/>
      <c r="E210" s="203"/>
      <c r="F210" s="203"/>
      <c r="G210" s="122"/>
      <c r="H210" s="122"/>
      <c r="I210" s="122"/>
      <c r="J210" s="111"/>
      <c r="K210" s="112"/>
      <c r="L210" s="107"/>
      <c r="M210" s="107"/>
      <c r="N210" s="107"/>
      <c r="O210" s="107"/>
      <c r="P210" s="107"/>
      <c r="Q210" s="107"/>
      <c r="R210" s="107"/>
    </row>
    <row r="211" spans="1:18" x14ac:dyDescent="0.25">
      <c r="A211" s="126"/>
      <c r="B211" s="128"/>
      <c r="C211" s="203"/>
      <c r="D211" s="203"/>
      <c r="E211" s="203"/>
      <c r="F211" s="203"/>
      <c r="G211" s="122"/>
      <c r="H211" s="122"/>
      <c r="I211" s="122"/>
      <c r="J211" s="122"/>
      <c r="K211" s="112"/>
      <c r="L211" s="107"/>
      <c r="M211" s="107"/>
      <c r="N211" s="107"/>
      <c r="O211" s="107"/>
      <c r="P211" s="107"/>
      <c r="Q211" s="107"/>
      <c r="R211" s="107"/>
    </row>
    <row r="212" spans="1:18" x14ac:dyDescent="0.25">
      <c r="A212" s="126"/>
      <c r="B212" s="128"/>
      <c r="C212" s="203"/>
      <c r="D212" s="203"/>
      <c r="E212" s="203"/>
      <c r="F212" s="203"/>
      <c r="G212" s="122"/>
      <c r="H212" s="122"/>
      <c r="I212" s="122"/>
      <c r="J212" s="122"/>
      <c r="K212" s="112"/>
      <c r="L212" s="107"/>
      <c r="M212" s="107"/>
      <c r="N212" s="107"/>
      <c r="O212" s="107"/>
      <c r="P212" s="107"/>
      <c r="Q212" s="107"/>
      <c r="R212" s="107"/>
    </row>
    <row r="213" spans="1:18" ht="29.25" customHeight="1" x14ac:dyDescent="0.25">
      <c r="A213" s="126"/>
      <c r="B213" s="128"/>
      <c r="C213" s="203"/>
      <c r="D213" s="203"/>
      <c r="E213" s="203"/>
      <c r="F213" s="203"/>
      <c r="G213" s="122"/>
      <c r="H213" s="122"/>
      <c r="I213" s="122"/>
      <c r="J213" s="122"/>
      <c r="K213" s="112"/>
      <c r="L213" s="107"/>
      <c r="M213" s="107"/>
      <c r="N213" s="107"/>
      <c r="O213" s="107"/>
      <c r="P213" s="107"/>
      <c r="Q213" s="107"/>
      <c r="R213" s="107"/>
    </row>
    <row r="214" spans="1:18" x14ac:dyDescent="0.25">
      <c r="A214" s="126"/>
      <c r="B214" s="128"/>
      <c r="C214" s="203"/>
      <c r="D214" s="203"/>
      <c r="E214" s="203"/>
      <c r="F214" s="203"/>
      <c r="G214" s="122"/>
      <c r="H214" s="122"/>
      <c r="I214" s="122"/>
      <c r="J214" s="122"/>
      <c r="K214" s="112"/>
      <c r="L214" s="107"/>
      <c r="M214" s="107"/>
      <c r="N214" s="107"/>
      <c r="O214" s="107"/>
      <c r="P214" s="107"/>
      <c r="Q214" s="107"/>
      <c r="R214" s="107"/>
    </row>
    <row r="215" spans="1:18" x14ac:dyDescent="0.25">
      <c r="A215" s="126"/>
      <c r="B215" s="128"/>
      <c r="C215" s="203"/>
      <c r="D215" s="203"/>
      <c r="E215" s="203"/>
      <c r="F215" s="203"/>
      <c r="G215" s="122"/>
      <c r="H215" s="122"/>
      <c r="I215" s="122"/>
      <c r="J215" s="122"/>
      <c r="K215" s="112"/>
      <c r="L215" s="107"/>
      <c r="M215" s="107"/>
      <c r="N215" s="107"/>
      <c r="O215" s="107"/>
      <c r="P215" s="107"/>
      <c r="Q215" s="107"/>
      <c r="R215" s="107"/>
    </row>
    <row r="216" spans="1:18" x14ac:dyDescent="0.25">
      <c r="A216" s="126"/>
      <c r="B216" s="128"/>
      <c r="C216" s="203"/>
      <c r="D216" s="203"/>
      <c r="E216" s="203"/>
      <c r="F216" s="203"/>
      <c r="G216" s="122"/>
      <c r="H216" s="122"/>
      <c r="I216" s="122"/>
      <c r="J216" s="122"/>
      <c r="K216" s="112"/>
      <c r="L216" s="107"/>
      <c r="M216" s="107"/>
      <c r="N216" s="107"/>
      <c r="O216" s="107"/>
      <c r="P216" s="107"/>
      <c r="Q216" s="107"/>
      <c r="R216" s="107"/>
    </row>
    <row r="217" spans="1:18" x14ac:dyDescent="0.25">
      <c r="A217" s="126"/>
      <c r="B217" s="128"/>
      <c r="C217" s="203"/>
      <c r="D217" s="203"/>
      <c r="E217" s="203"/>
      <c r="F217" s="203"/>
      <c r="G217" s="122"/>
      <c r="H217" s="122"/>
      <c r="I217" s="122"/>
      <c r="J217" s="122"/>
      <c r="K217" s="112"/>
      <c r="L217" s="107"/>
      <c r="M217" s="107"/>
      <c r="N217" s="107"/>
      <c r="O217" s="107"/>
      <c r="P217" s="107"/>
      <c r="Q217" s="107"/>
      <c r="R217" s="107"/>
    </row>
    <row r="218" spans="1:18" x14ac:dyDescent="0.25">
      <c r="A218" s="126"/>
      <c r="B218" s="128"/>
      <c r="C218" s="203"/>
      <c r="D218" s="203"/>
      <c r="E218" s="203"/>
      <c r="F218" s="203"/>
      <c r="G218" s="122"/>
      <c r="H218" s="122"/>
      <c r="I218" s="122"/>
      <c r="J218" s="122"/>
      <c r="K218" s="112"/>
      <c r="L218" s="107"/>
      <c r="M218" s="107"/>
      <c r="N218" s="107"/>
      <c r="O218" s="107"/>
      <c r="P218" s="107"/>
      <c r="Q218" s="107"/>
      <c r="R218" s="107"/>
    </row>
    <row r="219" spans="1:18" x14ac:dyDescent="0.25">
      <c r="A219" s="126"/>
      <c r="B219" s="128"/>
      <c r="C219" s="208"/>
      <c r="D219" s="208"/>
      <c r="E219" s="208"/>
      <c r="F219" s="208"/>
      <c r="G219" s="122"/>
      <c r="H219" s="122"/>
      <c r="I219" s="122"/>
      <c r="J219" s="111"/>
      <c r="K219" s="112"/>
      <c r="L219" s="107"/>
      <c r="M219" s="107"/>
      <c r="N219" s="107"/>
      <c r="O219" s="107"/>
      <c r="P219" s="107"/>
      <c r="Q219" s="107"/>
      <c r="R219" s="107"/>
    </row>
    <row r="220" spans="1:18" ht="26.25" customHeight="1" x14ac:dyDescent="0.25">
      <c r="A220" s="126"/>
      <c r="B220" s="128"/>
      <c r="C220" s="203"/>
      <c r="D220" s="203"/>
      <c r="E220" s="203"/>
      <c r="F220" s="203"/>
      <c r="G220" s="122"/>
      <c r="H220" s="122"/>
      <c r="I220" s="122"/>
      <c r="J220" s="111"/>
      <c r="K220" s="112"/>
      <c r="L220" s="107"/>
      <c r="M220" s="107"/>
      <c r="N220" s="107"/>
      <c r="O220" s="107"/>
      <c r="P220" s="107"/>
      <c r="Q220" s="107"/>
      <c r="R220" s="107"/>
    </row>
    <row r="221" spans="1:18" x14ac:dyDescent="0.25">
      <c r="A221" s="126"/>
      <c r="B221" s="204"/>
      <c r="C221" s="204"/>
      <c r="D221" s="204"/>
      <c r="E221" s="204"/>
      <c r="F221" s="204"/>
      <c r="G221" s="116"/>
      <c r="H221" s="116"/>
      <c r="I221" s="116"/>
      <c r="J221" s="116"/>
      <c r="K221" s="117"/>
      <c r="L221" s="107"/>
      <c r="M221" s="107"/>
      <c r="N221" s="107"/>
      <c r="O221" s="107"/>
      <c r="P221" s="107"/>
      <c r="Q221" s="107"/>
      <c r="R221" s="107"/>
    </row>
    <row r="222" spans="1:18" x14ac:dyDescent="0.25">
      <c r="A222" s="126"/>
      <c r="B222" s="126"/>
      <c r="C222" s="126"/>
      <c r="D222" s="126"/>
      <c r="E222" s="126"/>
      <c r="F222" s="127"/>
      <c r="G222" s="126"/>
      <c r="H222" s="126"/>
      <c r="I222" s="126"/>
      <c r="J222" s="111"/>
      <c r="K222" s="111"/>
      <c r="L222" s="107"/>
      <c r="M222" s="107"/>
      <c r="N222" s="107"/>
      <c r="O222" s="107"/>
      <c r="P222" s="107"/>
      <c r="Q222" s="107"/>
      <c r="R222" s="107"/>
    </row>
    <row r="223" spans="1:18" x14ac:dyDescent="0.25">
      <c r="A223" s="126"/>
      <c r="B223" s="105"/>
      <c r="C223" s="205"/>
      <c r="D223" s="205"/>
      <c r="E223" s="205"/>
      <c r="F223" s="205"/>
      <c r="G223" s="129"/>
      <c r="H223" s="129"/>
      <c r="I223" s="129"/>
      <c r="J223" s="106"/>
      <c r="K223" s="106"/>
      <c r="L223" s="107"/>
      <c r="M223" s="107"/>
      <c r="N223" s="107"/>
      <c r="O223" s="107"/>
      <c r="P223" s="107"/>
      <c r="Q223" s="107"/>
      <c r="R223" s="107"/>
    </row>
    <row r="224" spans="1:18" ht="24.75" customHeight="1" x14ac:dyDescent="0.25">
      <c r="A224" s="126"/>
      <c r="B224" s="128"/>
      <c r="C224" s="200"/>
      <c r="D224" s="200"/>
      <c r="E224" s="200"/>
      <c r="F224" s="200"/>
      <c r="G224" s="51"/>
      <c r="H224" s="51"/>
      <c r="I224" s="51"/>
      <c r="J224" s="51"/>
      <c r="K224" s="112"/>
      <c r="L224" s="107"/>
      <c r="M224" s="107"/>
      <c r="N224" s="107"/>
      <c r="O224" s="107"/>
      <c r="P224" s="107"/>
      <c r="Q224" s="107"/>
      <c r="R224" s="107"/>
    </row>
    <row r="225" spans="1:18" ht="21" customHeight="1" x14ac:dyDescent="0.25">
      <c r="A225" s="126"/>
      <c r="B225" s="128"/>
      <c r="C225" s="200"/>
      <c r="D225" s="200"/>
      <c r="E225" s="200"/>
      <c r="F225" s="200"/>
      <c r="G225" s="51"/>
      <c r="H225" s="51"/>
      <c r="I225" s="51"/>
      <c r="J225" s="51"/>
      <c r="K225" s="112"/>
      <c r="L225" s="107"/>
      <c r="M225" s="107"/>
      <c r="N225" s="107"/>
      <c r="O225" s="107"/>
      <c r="P225" s="107"/>
      <c r="Q225" s="107"/>
      <c r="R225" s="107"/>
    </row>
    <row r="226" spans="1:18" ht="22.5" customHeight="1" x14ac:dyDescent="0.25">
      <c r="A226" s="126"/>
      <c r="B226" s="128"/>
      <c r="C226" s="200"/>
      <c r="D226" s="200"/>
      <c r="E226" s="200"/>
      <c r="F226" s="200"/>
      <c r="G226" s="51"/>
      <c r="H226" s="51"/>
      <c r="I226" s="51"/>
      <c r="J226" s="51"/>
      <c r="K226" s="112"/>
      <c r="L226" s="107"/>
      <c r="M226" s="107"/>
      <c r="N226" s="107"/>
      <c r="O226" s="107"/>
      <c r="P226" s="107"/>
      <c r="Q226" s="107"/>
      <c r="R226" s="107"/>
    </row>
    <row r="227" spans="1:18" ht="24.75" customHeight="1" x14ac:dyDescent="0.25">
      <c r="A227" s="126"/>
      <c r="B227" s="128"/>
      <c r="C227" s="200"/>
      <c r="D227" s="200"/>
      <c r="E227" s="200"/>
      <c r="F227" s="200"/>
      <c r="G227" s="51"/>
      <c r="H227" s="51"/>
      <c r="I227" s="51"/>
      <c r="J227" s="51"/>
      <c r="K227" s="112"/>
      <c r="L227" s="107"/>
      <c r="M227" s="107"/>
      <c r="N227" s="107"/>
      <c r="O227" s="107"/>
      <c r="P227" s="107"/>
      <c r="Q227" s="107"/>
      <c r="R227" s="107"/>
    </row>
    <row r="228" spans="1:18" ht="27" customHeight="1" x14ac:dyDescent="0.25">
      <c r="A228" s="126"/>
      <c r="B228" s="128"/>
      <c r="C228" s="200"/>
      <c r="D228" s="200"/>
      <c r="E228" s="200"/>
      <c r="F228" s="200"/>
      <c r="G228" s="51"/>
      <c r="H228" s="51"/>
      <c r="I228" s="51"/>
      <c r="J228" s="111"/>
      <c r="K228" s="112"/>
      <c r="L228" s="107"/>
      <c r="M228" s="107"/>
      <c r="N228" s="107"/>
      <c r="O228" s="107"/>
      <c r="P228" s="107"/>
      <c r="Q228" s="107"/>
      <c r="R228" s="107"/>
    </row>
    <row r="229" spans="1:18" ht="25.5" customHeight="1" x14ac:dyDescent="0.25">
      <c r="A229" s="126"/>
      <c r="B229" s="128"/>
      <c r="C229" s="200"/>
      <c r="D229" s="200"/>
      <c r="E229" s="200"/>
      <c r="F229" s="200"/>
      <c r="G229" s="51"/>
      <c r="H229" s="51"/>
      <c r="I229" s="51"/>
      <c r="J229" s="51"/>
      <c r="K229" s="112"/>
      <c r="L229" s="107"/>
      <c r="M229" s="107"/>
      <c r="N229" s="107"/>
      <c r="O229" s="107"/>
      <c r="P229" s="107"/>
      <c r="Q229" s="107"/>
      <c r="R229" s="107"/>
    </row>
    <row r="230" spans="1:18" x14ac:dyDescent="0.25">
      <c r="A230" s="126"/>
      <c r="B230" s="128"/>
      <c r="C230" s="200"/>
      <c r="D230" s="200"/>
      <c r="E230" s="200"/>
      <c r="F230" s="200"/>
      <c r="G230" s="51"/>
      <c r="H230" s="51"/>
      <c r="I230" s="51"/>
      <c r="J230" s="51"/>
      <c r="K230" s="112"/>
      <c r="L230" s="107"/>
      <c r="M230" s="107"/>
      <c r="N230" s="107"/>
      <c r="O230" s="107"/>
      <c r="P230" s="107"/>
      <c r="Q230" s="107"/>
      <c r="R230" s="107"/>
    </row>
    <row r="231" spans="1:18" x14ac:dyDescent="0.25">
      <c r="A231" s="126"/>
      <c r="B231" s="128"/>
      <c r="C231" s="200"/>
      <c r="D231" s="200"/>
      <c r="E231" s="200"/>
      <c r="F231" s="200"/>
      <c r="G231" s="51"/>
      <c r="H231" s="51"/>
      <c r="I231" s="51"/>
      <c r="J231" s="111"/>
      <c r="K231" s="112"/>
      <c r="L231" s="107"/>
      <c r="M231" s="107"/>
      <c r="N231" s="107"/>
      <c r="O231" s="107"/>
      <c r="P231" s="107"/>
      <c r="Q231" s="107"/>
      <c r="R231" s="107"/>
    </row>
    <row r="232" spans="1:18" ht="38.25" customHeight="1" x14ac:dyDescent="0.25">
      <c r="A232" s="126"/>
      <c r="B232" s="128"/>
      <c r="C232" s="200"/>
      <c r="D232" s="200"/>
      <c r="E232" s="200"/>
      <c r="F232" s="200"/>
      <c r="G232" s="51"/>
      <c r="H232" s="51"/>
      <c r="I232" s="51"/>
      <c r="J232" s="51"/>
      <c r="K232" s="112"/>
      <c r="L232" s="107"/>
      <c r="M232" s="107"/>
      <c r="N232" s="107"/>
      <c r="O232" s="107"/>
      <c r="P232" s="107"/>
      <c r="Q232" s="107"/>
      <c r="R232" s="107"/>
    </row>
    <row r="233" spans="1:18" ht="28.5" customHeight="1" x14ac:dyDescent="0.25">
      <c r="A233" s="126"/>
      <c r="B233" s="128"/>
      <c r="C233" s="200"/>
      <c r="D233" s="200"/>
      <c r="E233" s="200"/>
      <c r="F233" s="200"/>
      <c r="G233" s="51"/>
      <c r="H233" s="51"/>
      <c r="I233" s="51"/>
      <c r="J233" s="111"/>
      <c r="K233" s="112"/>
      <c r="L233" s="107"/>
      <c r="M233" s="107"/>
      <c r="N233" s="107"/>
      <c r="O233" s="107"/>
      <c r="P233" s="107"/>
      <c r="Q233" s="107"/>
      <c r="R233" s="107"/>
    </row>
    <row r="234" spans="1:18" ht="25.5" customHeight="1" x14ac:dyDescent="0.25">
      <c r="A234" s="126"/>
      <c r="B234" s="128"/>
      <c r="C234" s="200"/>
      <c r="D234" s="200"/>
      <c r="E234" s="200"/>
      <c r="F234" s="200"/>
      <c r="G234" s="51"/>
      <c r="H234" s="51"/>
      <c r="I234" s="51"/>
      <c r="J234" s="111"/>
      <c r="K234" s="112"/>
      <c r="L234" s="107"/>
      <c r="M234" s="107"/>
      <c r="N234" s="107"/>
      <c r="O234" s="107"/>
      <c r="P234" s="107"/>
      <c r="Q234" s="107"/>
      <c r="R234" s="107"/>
    </row>
    <row r="235" spans="1:18" ht="25.5" customHeight="1" x14ac:dyDescent="0.25">
      <c r="A235" s="126"/>
      <c r="B235" s="128"/>
      <c r="C235" s="200"/>
      <c r="D235" s="200"/>
      <c r="E235" s="200"/>
      <c r="F235" s="200"/>
      <c r="G235" s="51"/>
      <c r="H235" s="51"/>
      <c r="I235" s="51"/>
      <c r="J235" s="51"/>
      <c r="K235" s="112"/>
      <c r="L235" s="107"/>
      <c r="M235" s="107"/>
      <c r="N235" s="107"/>
      <c r="O235" s="107"/>
      <c r="P235" s="107"/>
      <c r="Q235" s="107"/>
      <c r="R235" s="107"/>
    </row>
    <row r="236" spans="1:18" ht="39" customHeight="1" x14ac:dyDescent="0.25">
      <c r="A236" s="126"/>
      <c r="B236" s="128"/>
      <c r="C236" s="201"/>
      <c r="D236" s="201"/>
      <c r="E236" s="201"/>
      <c r="F236" s="201"/>
      <c r="G236" s="51"/>
      <c r="H236" s="51"/>
      <c r="I236" s="51"/>
      <c r="J236" s="111"/>
      <c r="K236" s="112"/>
      <c r="L236" s="107"/>
      <c r="M236" s="107"/>
      <c r="N236" s="107"/>
      <c r="O236" s="107"/>
      <c r="P236" s="107"/>
      <c r="Q236" s="107"/>
      <c r="R236" s="107"/>
    </row>
    <row r="237" spans="1:18" x14ac:dyDescent="0.25">
      <c r="A237" s="126"/>
      <c r="B237" s="202"/>
      <c r="C237" s="202"/>
      <c r="D237" s="202"/>
      <c r="E237" s="202"/>
      <c r="F237" s="202"/>
      <c r="G237" s="130"/>
      <c r="H237" s="130"/>
      <c r="I237" s="130"/>
      <c r="J237" s="130"/>
      <c r="K237" s="117"/>
      <c r="L237" s="107"/>
      <c r="M237" s="107"/>
      <c r="N237" s="107"/>
      <c r="O237" s="107"/>
      <c r="P237" s="107"/>
      <c r="Q237" s="107"/>
      <c r="R237" s="107"/>
    </row>
  </sheetData>
  <mergeCells count="108">
    <mergeCell ref="D10:D12"/>
    <mergeCell ref="E10:E12"/>
    <mergeCell ref="A101:A103"/>
    <mergeCell ref="B101:B102"/>
    <mergeCell ref="C101:C102"/>
    <mergeCell ref="A104:A108"/>
    <mergeCell ref="B104:B107"/>
    <mergeCell ref="C104:C107"/>
    <mergeCell ref="F10:L10"/>
    <mergeCell ref="J11:L11"/>
    <mergeCell ref="A98:A100"/>
    <mergeCell ref="B98:B99"/>
    <mergeCell ref="C98:C99"/>
    <mergeCell ref="A10:A12"/>
    <mergeCell ref="B10:B12"/>
    <mergeCell ref="C10:C12"/>
    <mergeCell ref="F11:F12"/>
    <mergeCell ref="G11:I11"/>
    <mergeCell ref="A109:A112"/>
    <mergeCell ref="B109:B111"/>
    <mergeCell ref="C109:C111"/>
    <mergeCell ref="A113:A117"/>
    <mergeCell ref="B113:B116"/>
    <mergeCell ref="C113:C116"/>
    <mergeCell ref="A118:A122"/>
    <mergeCell ref="B118:B121"/>
    <mergeCell ref="C118:C121"/>
    <mergeCell ref="A123:A127"/>
    <mergeCell ref="B123:B126"/>
    <mergeCell ref="C123:C126"/>
    <mergeCell ref="A128:A132"/>
    <mergeCell ref="B128:B131"/>
    <mergeCell ref="C128:C131"/>
    <mergeCell ref="A133:A137"/>
    <mergeCell ref="B133:B136"/>
    <mergeCell ref="C133:C136"/>
    <mergeCell ref="A138:A142"/>
    <mergeCell ref="B138:B141"/>
    <mergeCell ref="C138:C141"/>
    <mergeCell ref="A143:A147"/>
    <mergeCell ref="B143:B146"/>
    <mergeCell ref="C143:C146"/>
    <mergeCell ref="A148:A152"/>
    <mergeCell ref="B148:B151"/>
    <mergeCell ref="C148:C151"/>
    <mergeCell ref="A153:A157"/>
    <mergeCell ref="B153:B156"/>
    <mergeCell ref="C153:C156"/>
    <mergeCell ref="A158:A162"/>
    <mergeCell ref="B158:B161"/>
    <mergeCell ref="C158:C161"/>
    <mergeCell ref="A163:A167"/>
    <mergeCell ref="B163:B166"/>
    <mergeCell ref="C163:C166"/>
    <mergeCell ref="A168:A172"/>
    <mergeCell ref="B168:B171"/>
    <mergeCell ref="C168:C171"/>
    <mergeCell ref="A173:A177"/>
    <mergeCell ref="B173:B176"/>
    <mergeCell ref="C173:C176"/>
    <mergeCell ref="A178:A182"/>
    <mergeCell ref="B178:B181"/>
    <mergeCell ref="C178:C181"/>
    <mergeCell ref="A183:A187"/>
    <mergeCell ref="B183:B186"/>
    <mergeCell ref="C183:C186"/>
    <mergeCell ref="A188:A192"/>
    <mergeCell ref="B188:B191"/>
    <mergeCell ref="C188:C191"/>
    <mergeCell ref="A193:A197"/>
    <mergeCell ref="B193:B196"/>
    <mergeCell ref="C193:C196"/>
    <mergeCell ref="C219:F219"/>
    <mergeCell ref="A207:C207"/>
    <mergeCell ref="C209:F209"/>
    <mergeCell ref="C210:F210"/>
    <mergeCell ref="C211:F211"/>
    <mergeCell ref="C212:F212"/>
    <mergeCell ref="C213:F213"/>
    <mergeCell ref="C214:F214"/>
    <mergeCell ref="C215:F215"/>
    <mergeCell ref="C216:F216"/>
    <mergeCell ref="C217:F217"/>
    <mergeCell ref="C218:F218"/>
    <mergeCell ref="C233:F233"/>
    <mergeCell ref="C234:F234"/>
    <mergeCell ref="C235:F235"/>
    <mergeCell ref="C236:F236"/>
    <mergeCell ref="B237:F237"/>
    <mergeCell ref="A8:K8"/>
    <mergeCell ref="C232:F232"/>
    <mergeCell ref="C220:F220"/>
    <mergeCell ref="B221:F221"/>
    <mergeCell ref="C223:F223"/>
    <mergeCell ref="C224:F224"/>
    <mergeCell ref="C225:F225"/>
    <mergeCell ref="C226:F226"/>
    <mergeCell ref="C227:F227"/>
    <mergeCell ref="C228:F228"/>
    <mergeCell ref="C229:F229"/>
    <mergeCell ref="C230:F230"/>
    <mergeCell ref="C231:F231"/>
    <mergeCell ref="A198:A201"/>
    <mergeCell ref="B198:B200"/>
    <mergeCell ref="C198:C200"/>
    <mergeCell ref="A202:A206"/>
    <mergeCell ref="B202:B205"/>
    <mergeCell ref="C202:C205"/>
  </mergeCells>
  <conditionalFormatting sqref="J50 J26 J63 J41 J33 J38 J103 J56 J93 J21 G11 G13:I182">
    <cfRule type="cellIs" dxfId="27" priority="1" stopIfTrue="1" operator="equal">
      <formula>0</formula>
    </cfRule>
  </conditionalFormatting>
  <conditionalFormatting sqref="G39:I39 G106:I107 G115:I116 G155:I156">
    <cfRule type="cellIs" dxfId="26" priority="11" stopIfTrue="1" operator="equal">
      <formula>0</formula>
    </cfRule>
  </conditionalFormatting>
  <conditionalFormatting sqref="G55:I55">
    <cfRule type="cellIs" dxfId="25" priority="10" stopIfTrue="1" operator="equal">
      <formula>0</formula>
    </cfRule>
  </conditionalFormatting>
  <conditionalFormatting sqref="G64:I65">
    <cfRule type="cellIs" dxfId="24" priority="2" stopIfTrue="1" operator="equal">
      <formula>0</formula>
    </cfRule>
  </conditionalFormatting>
  <conditionalFormatting sqref="G67:I67 G69:I69 G71:I71 G73:I73 G75:I75 G77:I77 G79:I79 G81:I81 G83:I83 G85:I86 G88:I88 G91:I91 G94:I94 G96:I96 G98:I99 G101:I102 G104:I104 G123:I123 G125:I126 G128:I129 G133:I133 G135:I136 G138:I138 G140:I141 G143:I143 G145:I146 G148:I148 G150:I151 G153:I153 G158:I159 G163:I166 G168:I168 G170:I171 G173:I173 G175:I176 G178:I179 G188:I191 G193:I194 G198:I200 G202:I205 G11 G13:I16 G224:I236 J229:J230 J235 J232 J224:J227">
    <cfRule type="cellIs" dxfId="23" priority="14" stopIfTrue="1" operator="equal">
      <formula>0</formula>
    </cfRule>
  </conditionalFormatting>
  <conditionalFormatting sqref="G109:I109 G111:I111">
    <cfRule type="cellIs" dxfId="22" priority="7" stopIfTrue="1" operator="equal">
      <formula>0</formula>
    </cfRule>
  </conditionalFormatting>
  <conditionalFormatting sqref="G113:I113">
    <cfRule type="cellIs" dxfId="21" priority="6" stopIfTrue="1" operator="equal">
      <formula>0</formula>
    </cfRule>
  </conditionalFormatting>
  <conditionalFormatting sqref="G118:I118 G120:I121">
    <cfRule type="cellIs" dxfId="20" priority="5" stopIfTrue="1" operator="equal">
      <formula>0</formula>
    </cfRule>
  </conditionalFormatting>
  <conditionalFormatting sqref="G183:I184">
    <cfRule type="cellIs" dxfId="19" priority="4" stopIfTrue="1" operator="equal">
      <formula>0</formula>
    </cfRule>
  </conditionalFormatting>
  <conditionalFormatting sqref="G183:I187">
    <cfRule type="cellIs" dxfId="18" priority="3" stopIfTrue="1" operator="equal">
      <formula>0</formula>
    </cfRule>
  </conditionalFormatting>
  <conditionalFormatting sqref="G188:I207 J207 J201 J182">
    <cfRule type="cellIs" dxfId="17" priority="13" stopIfTrue="1" operator="equal">
      <formula>0</formula>
    </cfRule>
  </conditionalFormatting>
  <conditionalFormatting sqref="G207:J207">
    <cfRule type="cellIs" dxfId="16" priority="12" stopIfTrue="1" operator="equal">
      <formula>0</formula>
    </cfRule>
  </conditionalFormatting>
  <conditionalFormatting sqref="G210:I221 J221 J211:J218">
    <cfRule type="cellIs" dxfId="15" priority="9" stopIfTrue="1" operator="equal">
      <formula>0</formula>
    </cfRule>
  </conditionalFormatting>
  <conditionalFormatting sqref="G237:J237">
    <cfRule type="cellIs" dxfId="14" priority="8" stopIfTrue="1" operator="equal">
      <formula>0</formula>
    </cfRule>
  </conditionalFormatting>
  <pageMargins left="0.7" right="0.7" top="0.75" bottom="0.75" header="0.3" footer="0.3"/>
  <pageSetup paperSize="9" scale="84" fitToHeight="0" orientation="portrait" verticalDpi="0" r:id="rId1"/>
  <rowBreaks count="2" manualBreakCount="2">
    <brk id="41" max="16383" man="1"/>
    <brk id="16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2"/>
  <sheetViews>
    <sheetView tabSelected="1" topLeftCell="A218" zoomScaleNormal="100" workbookViewId="0">
      <selection activeCell="E242" sqref="E242:F242"/>
    </sheetView>
  </sheetViews>
  <sheetFormatPr defaultRowHeight="15" x14ac:dyDescent="0.25"/>
  <cols>
    <col min="1" max="1" width="4.42578125" customWidth="1"/>
    <col min="2" max="2" width="17.140625" customWidth="1"/>
    <col min="3" max="3" width="20.140625" customWidth="1"/>
    <col min="4" max="4" width="10.7109375" customWidth="1"/>
    <col min="5" max="5" width="14" customWidth="1"/>
    <col min="6" max="6" width="10.5703125" customWidth="1"/>
    <col min="7" max="7" width="11.28515625" customWidth="1"/>
  </cols>
  <sheetData>
    <row r="1" spans="1:7" ht="17.25" customHeight="1" x14ac:dyDescent="0.25">
      <c r="A1" s="8"/>
      <c r="B1" s="94"/>
      <c r="C1" s="92" t="s">
        <v>214</v>
      </c>
      <c r="D1" s="92"/>
      <c r="E1" s="92"/>
      <c r="F1" s="95"/>
      <c r="G1" s="95"/>
    </row>
    <row r="2" spans="1:7" ht="14.25" customHeight="1" x14ac:dyDescent="0.25">
      <c r="A2" s="8"/>
      <c r="B2" s="4" t="s">
        <v>215</v>
      </c>
      <c r="C2" s="5"/>
      <c r="D2" s="94"/>
      <c r="E2" s="94"/>
      <c r="F2" s="93"/>
      <c r="G2" s="93"/>
    </row>
    <row r="3" spans="1:7" ht="15.75" customHeight="1" x14ac:dyDescent="0.25">
      <c r="A3" s="8"/>
      <c r="B3" s="4" t="s">
        <v>218</v>
      </c>
      <c r="C3" s="5"/>
      <c r="D3" s="94"/>
      <c r="E3" s="94"/>
      <c r="F3" s="93"/>
      <c r="G3" s="93"/>
    </row>
    <row r="4" spans="1:7" ht="15.75" customHeight="1" x14ac:dyDescent="0.25">
      <c r="A4" s="8"/>
      <c r="B4" s="4" t="s">
        <v>216</v>
      </c>
      <c r="C4" s="5"/>
      <c r="D4" s="94"/>
      <c r="E4" s="94"/>
      <c r="F4" s="93"/>
      <c r="G4" s="93"/>
    </row>
    <row r="5" spans="1:7" ht="15.75" customHeight="1" x14ac:dyDescent="0.25">
      <c r="A5" s="8"/>
      <c r="B5" s="4" t="s">
        <v>265</v>
      </c>
      <c r="C5" s="5"/>
      <c r="D5" s="94"/>
      <c r="E5" s="94"/>
      <c r="F5" s="93"/>
      <c r="G5" s="93"/>
    </row>
    <row r="6" spans="1:7" ht="15.75" customHeight="1" x14ac:dyDescent="0.25">
      <c r="A6" s="8"/>
      <c r="B6" s="4" t="s">
        <v>217</v>
      </c>
      <c r="C6" s="5"/>
      <c r="D6" s="94"/>
      <c r="E6" s="94"/>
      <c r="F6" s="93"/>
      <c r="G6" s="93"/>
    </row>
    <row r="7" spans="1:7" ht="15.75" customHeight="1" x14ac:dyDescent="0.25">
      <c r="A7" s="8"/>
      <c r="B7" s="9"/>
      <c r="C7" s="9"/>
      <c r="D7" s="2"/>
      <c r="E7" s="2"/>
    </row>
    <row r="8" spans="1:7" ht="15.75" customHeight="1" x14ac:dyDescent="0.25">
      <c r="A8" s="258" t="s">
        <v>213</v>
      </c>
      <c r="B8" s="258"/>
      <c r="C8" s="258"/>
      <c r="D8" s="258"/>
      <c r="E8" s="258"/>
      <c r="F8" s="258"/>
      <c r="G8" s="258"/>
    </row>
    <row r="9" spans="1:7" ht="15.75" thickBot="1" x14ac:dyDescent="0.3">
      <c r="A9" s="8"/>
      <c r="B9" s="11"/>
      <c r="C9" s="11"/>
      <c r="D9" s="10"/>
      <c r="E9" s="9"/>
      <c r="G9" s="63" t="s">
        <v>212</v>
      </c>
    </row>
    <row r="10" spans="1:7" ht="24.75" thickBot="1" x14ac:dyDescent="0.3">
      <c r="A10" s="12" t="s">
        <v>0</v>
      </c>
      <c r="B10" s="66" t="s">
        <v>76</v>
      </c>
      <c r="C10" s="66" t="s">
        <v>77</v>
      </c>
      <c r="D10" s="66" t="s">
        <v>78</v>
      </c>
      <c r="E10" s="13" t="s">
        <v>211</v>
      </c>
      <c r="F10" s="80" t="s">
        <v>209</v>
      </c>
      <c r="G10" s="81" t="s">
        <v>210</v>
      </c>
    </row>
    <row r="11" spans="1:7" ht="36" x14ac:dyDescent="0.25">
      <c r="A11" s="231" t="s">
        <v>2</v>
      </c>
      <c r="B11" s="64" t="s">
        <v>79</v>
      </c>
      <c r="C11" s="65" t="s">
        <v>80</v>
      </c>
      <c r="D11" s="27" t="s">
        <v>81</v>
      </c>
      <c r="E11" s="50">
        <v>111110</v>
      </c>
      <c r="F11" s="70"/>
      <c r="G11" s="71">
        <f>E11+F11</f>
        <v>111110</v>
      </c>
    </row>
    <row r="12" spans="1:7" ht="24.75" thickBot="1" x14ac:dyDescent="0.3">
      <c r="A12" s="231"/>
      <c r="B12" s="16" t="s">
        <v>82</v>
      </c>
      <c r="C12" s="17"/>
      <c r="D12" s="18"/>
      <c r="E12" s="44">
        <f>SUBTOTAL(9,E11:E11)</f>
        <v>111110</v>
      </c>
      <c r="F12" s="72"/>
      <c r="G12" s="76">
        <f t="shared" ref="G12:G77" si="0">E12+F12</f>
        <v>111110</v>
      </c>
    </row>
    <row r="13" spans="1:7" x14ac:dyDescent="0.25">
      <c r="A13" s="253" t="s">
        <v>4</v>
      </c>
      <c r="B13" s="256" t="s">
        <v>83</v>
      </c>
      <c r="C13" s="256" t="s">
        <v>80</v>
      </c>
      <c r="D13" s="19" t="s">
        <v>81</v>
      </c>
      <c r="E13" s="45">
        <f>3719140+258740+327464+1957000+874300</f>
        <v>7136644</v>
      </c>
      <c r="F13" s="100">
        <v>-3800</v>
      </c>
      <c r="G13" s="71">
        <f t="shared" si="0"/>
        <v>7132844</v>
      </c>
    </row>
    <row r="14" spans="1:7" x14ac:dyDescent="0.25">
      <c r="A14" s="254"/>
      <c r="B14" s="257"/>
      <c r="C14" s="257"/>
      <c r="D14" s="20" t="s">
        <v>84</v>
      </c>
      <c r="E14" s="46">
        <f>19200+12500-1700</f>
        <v>30000</v>
      </c>
      <c r="F14" s="73"/>
      <c r="G14" s="71">
        <f t="shared" si="0"/>
        <v>30000</v>
      </c>
    </row>
    <row r="15" spans="1:7" x14ac:dyDescent="0.25">
      <c r="A15" s="254"/>
      <c r="B15" s="257"/>
      <c r="C15" s="257"/>
      <c r="D15" s="20" t="s">
        <v>85</v>
      </c>
      <c r="E15" s="46">
        <v>256159</v>
      </c>
      <c r="F15" s="73"/>
      <c r="G15" s="71">
        <f t="shared" si="0"/>
        <v>256159</v>
      </c>
    </row>
    <row r="16" spans="1:7" x14ac:dyDescent="0.25">
      <c r="A16" s="254"/>
      <c r="B16" s="257"/>
      <c r="C16" s="257"/>
      <c r="D16" s="20" t="s">
        <v>86</v>
      </c>
      <c r="E16" s="46">
        <v>62920</v>
      </c>
      <c r="F16" s="73"/>
      <c r="G16" s="71">
        <f t="shared" si="0"/>
        <v>62920</v>
      </c>
    </row>
    <row r="17" spans="1:7" x14ac:dyDescent="0.25">
      <c r="A17" s="254"/>
      <c r="B17" s="257"/>
      <c r="C17" s="21" t="s">
        <v>87</v>
      </c>
      <c r="D17" s="22"/>
      <c r="E17" s="47">
        <f>SUBTOTAL(9,E13:E16)</f>
        <v>7485723</v>
      </c>
      <c r="F17" s="47">
        <f>SUBTOTAL(9,F13:F16)</f>
        <v>-3800</v>
      </c>
      <c r="G17" s="77">
        <f t="shared" si="0"/>
        <v>7481923</v>
      </c>
    </row>
    <row r="18" spans="1:7" x14ac:dyDescent="0.25">
      <c r="A18" s="254"/>
      <c r="B18" s="257"/>
      <c r="C18" s="259" t="s">
        <v>88</v>
      </c>
      <c r="D18" s="20" t="s">
        <v>81</v>
      </c>
      <c r="E18" s="46">
        <v>1138000</v>
      </c>
      <c r="F18" s="101"/>
      <c r="G18" s="71">
        <f t="shared" si="0"/>
        <v>1138000</v>
      </c>
    </row>
    <row r="19" spans="1:7" x14ac:dyDescent="0.25">
      <c r="A19" s="254"/>
      <c r="B19" s="257"/>
      <c r="C19" s="259"/>
      <c r="D19" s="20" t="s">
        <v>84</v>
      </c>
      <c r="E19" s="46">
        <f>49050+72000</f>
        <v>121050</v>
      </c>
      <c r="F19" s="73"/>
      <c r="G19" s="71">
        <f t="shared" si="0"/>
        <v>121050</v>
      </c>
    </row>
    <row r="20" spans="1:7" x14ac:dyDescent="0.25">
      <c r="A20" s="254"/>
      <c r="B20" s="257"/>
      <c r="C20" s="259"/>
      <c r="D20" s="20" t="s">
        <v>89</v>
      </c>
      <c r="E20" s="46">
        <v>300000</v>
      </c>
      <c r="F20" s="73"/>
      <c r="G20" s="71">
        <f t="shared" si="0"/>
        <v>300000</v>
      </c>
    </row>
    <row r="21" spans="1:7" x14ac:dyDescent="0.25">
      <c r="A21" s="254"/>
      <c r="B21" s="257"/>
      <c r="C21" s="21" t="s">
        <v>90</v>
      </c>
      <c r="D21" s="22"/>
      <c r="E21" s="47">
        <f>SUM(E18:E20)</f>
        <v>1559050</v>
      </c>
      <c r="F21" s="47">
        <f>SUM(F18:F20)</f>
        <v>0</v>
      </c>
      <c r="G21" s="77">
        <f t="shared" si="0"/>
        <v>1559050</v>
      </c>
    </row>
    <row r="22" spans="1:7" x14ac:dyDescent="0.25">
      <c r="A22" s="254"/>
      <c r="B22" s="257"/>
      <c r="C22" s="259" t="s">
        <v>91</v>
      </c>
      <c r="D22" s="20" t="s">
        <v>81</v>
      </c>
      <c r="E22" s="46">
        <f>86972+80000+60000</f>
        <v>226972</v>
      </c>
      <c r="F22" s="73"/>
      <c r="G22" s="71">
        <f t="shared" si="0"/>
        <v>226972</v>
      </c>
    </row>
    <row r="23" spans="1:7" x14ac:dyDescent="0.25">
      <c r="A23" s="254"/>
      <c r="B23" s="257"/>
      <c r="C23" s="257"/>
      <c r="D23" s="20" t="s">
        <v>85</v>
      </c>
      <c r="E23" s="46">
        <v>416800</v>
      </c>
      <c r="F23" s="73"/>
      <c r="G23" s="71">
        <f t="shared" si="0"/>
        <v>416800</v>
      </c>
    </row>
    <row r="24" spans="1:7" x14ac:dyDescent="0.25">
      <c r="A24" s="254"/>
      <c r="B24" s="257"/>
      <c r="C24" s="257"/>
      <c r="D24" s="20" t="s">
        <v>92</v>
      </c>
      <c r="E24" s="46">
        <v>21880</v>
      </c>
      <c r="F24" s="73"/>
      <c r="G24" s="71">
        <f t="shared" si="0"/>
        <v>21880</v>
      </c>
    </row>
    <row r="25" spans="1:7" x14ac:dyDescent="0.25">
      <c r="A25" s="254"/>
      <c r="B25" s="257"/>
      <c r="C25" s="257"/>
      <c r="D25" s="20" t="s">
        <v>93</v>
      </c>
      <c r="E25" s="46">
        <v>126830</v>
      </c>
      <c r="F25" s="73"/>
      <c r="G25" s="71">
        <f t="shared" si="0"/>
        <v>126830</v>
      </c>
    </row>
    <row r="26" spans="1:7" x14ac:dyDescent="0.25">
      <c r="A26" s="254"/>
      <c r="B26" s="257"/>
      <c r="C26" s="21" t="s">
        <v>94</v>
      </c>
      <c r="D26" s="22"/>
      <c r="E26" s="47">
        <f>SUBTOTAL(9,E22:E25)</f>
        <v>792482</v>
      </c>
      <c r="F26" s="47">
        <f>SUBTOTAL(9,F22:F25)</f>
        <v>0</v>
      </c>
      <c r="G26" s="77">
        <f t="shared" si="0"/>
        <v>792482</v>
      </c>
    </row>
    <row r="27" spans="1:7" x14ac:dyDescent="0.25">
      <c r="A27" s="254"/>
      <c r="B27" s="257"/>
      <c r="C27" s="259" t="s">
        <v>95</v>
      </c>
      <c r="D27" s="20" t="s">
        <v>81</v>
      </c>
      <c r="E27" s="46">
        <v>4902375</v>
      </c>
      <c r="F27" s="101"/>
      <c r="G27" s="71">
        <f t="shared" si="0"/>
        <v>4902375</v>
      </c>
    </row>
    <row r="28" spans="1:7" x14ac:dyDescent="0.25">
      <c r="A28" s="254"/>
      <c r="B28" s="257"/>
      <c r="C28" s="257"/>
      <c r="D28" s="20" t="s">
        <v>96</v>
      </c>
      <c r="E28" s="46">
        <v>1760000</v>
      </c>
      <c r="F28" s="73"/>
      <c r="G28" s="71">
        <f t="shared" si="0"/>
        <v>1760000</v>
      </c>
    </row>
    <row r="29" spans="1:7" x14ac:dyDescent="0.25">
      <c r="A29" s="254"/>
      <c r="B29" s="257"/>
      <c r="C29" s="257"/>
      <c r="D29" s="20" t="s">
        <v>97</v>
      </c>
      <c r="E29" s="46">
        <v>430000</v>
      </c>
      <c r="F29" s="73"/>
      <c r="G29" s="71">
        <f t="shared" si="0"/>
        <v>430000</v>
      </c>
    </row>
    <row r="30" spans="1:7" x14ac:dyDescent="0.25">
      <c r="A30" s="254"/>
      <c r="B30" s="257"/>
      <c r="C30" s="257"/>
      <c r="D30" s="20" t="s">
        <v>89</v>
      </c>
      <c r="E30" s="46">
        <v>175000</v>
      </c>
      <c r="F30" s="73"/>
      <c r="G30" s="71">
        <f t="shared" si="0"/>
        <v>175000</v>
      </c>
    </row>
    <row r="31" spans="1:7" x14ac:dyDescent="0.25">
      <c r="A31" s="254"/>
      <c r="B31" s="257"/>
      <c r="C31" s="257"/>
      <c r="D31" s="20" t="s">
        <v>92</v>
      </c>
      <c r="E31" s="46">
        <f>449891+65325</f>
        <v>515216</v>
      </c>
      <c r="F31" s="101">
        <v>-402223</v>
      </c>
      <c r="G31" s="71">
        <f t="shared" si="0"/>
        <v>112993</v>
      </c>
    </row>
    <row r="32" spans="1:7" x14ac:dyDescent="0.25">
      <c r="A32" s="254"/>
      <c r="B32" s="257"/>
      <c r="C32" s="257"/>
      <c r="D32" s="20" t="s">
        <v>267</v>
      </c>
      <c r="E32" s="46"/>
      <c r="F32" s="101">
        <v>437223</v>
      </c>
      <c r="G32" s="71">
        <f t="shared" si="0"/>
        <v>437223</v>
      </c>
    </row>
    <row r="33" spans="1:7" x14ac:dyDescent="0.25">
      <c r="A33" s="254"/>
      <c r="B33" s="257"/>
      <c r="C33" s="257"/>
      <c r="D33" s="20" t="s">
        <v>93</v>
      </c>
      <c r="E33" s="46">
        <v>2139565</v>
      </c>
      <c r="F33" s="73"/>
      <c r="G33" s="71">
        <f t="shared" si="0"/>
        <v>2139565</v>
      </c>
    </row>
    <row r="34" spans="1:7" x14ac:dyDescent="0.25">
      <c r="A34" s="254"/>
      <c r="B34" s="257"/>
      <c r="C34" s="21" t="s">
        <v>98</v>
      </c>
      <c r="D34" s="22"/>
      <c r="E34" s="47">
        <f>SUBTOTAL(9,E27:E33)</f>
        <v>9922156</v>
      </c>
      <c r="F34" s="47">
        <f>SUBTOTAL(9,F27:F33)</f>
        <v>35000</v>
      </c>
      <c r="G34" s="77">
        <f t="shared" si="0"/>
        <v>9957156</v>
      </c>
    </row>
    <row r="35" spans="1:7" x14ac:dyDescent="0.25">
      <c r="A35" s="254"/>
      <c r="B35" s="257"/>
      <c r="C35" s="259" t="s">
        <v>99</v>
      </c>
      <c r="D35" s="20" t="s">
        <v>81</v>
      </c>
      <c r="E35" s="46">
        <f>5998560+924740</f>
        <v>6923300</v>
      </c>
      <c r="F35" s="101"/>
      <c r="G35" s="71">
        <f t="shared" si="0"/>
        <v>6923300</v>
      </c>
    </row>
    <row r="36" spans="1:7" x14ac:dyDescent="0.25">
      <c r="A36" s="254"/>
      <c r="B36" s="257"/>
      <c r="C36" s="259"/>
      <c r="D36" s="20" t="s">
        <v>100</v>
      </c>
      <c r="E36" s="46">
        <f>139000+126000</f>
        <v>265000</v>
      </c>
      <c r="F36" s="73"/>
      <c r="G36" s="71">
        <f t="shared" si="0"/>
        <v>265000</v>
      </c>
    </row>
    <row r="37" spans="1:7" x14ac:dyDescent="0.25">
      <c r="A37" s="254"/>
      <c r="B37" s="257"/>
      <c r="C37" s="259"/>
      <c r="D37" s="20" t="s">
        <v>101</v>
      </c>
      <c r="E37" s="46">
        <f>81678+160227</f>
        <v>241905</v>
      </c>
      <c r="F37" s="73"/>
      <c r="G37" s="71">
        <f t="shared" si="0"/>
        <v>241905</v>
      </c>
    </row>
    <row r="38" spans="1:7" x14ac:dyDescent="0.25">
      <c r="A38" s="254"/>
      <c r="B38" s="257"/>
      <c r="C38" s="259"/>
      <c r="D38" s="20" t="s">
        <v>102</v>
      </c>
      <c r="E38" s="46">
        <v>2390900</v>
      </c>
      <c r="F38" s="101"/>
      <c r="G38" s="71">
        <f t="shared" si="0"/>
        <v>2390900</v>
      </c>
    </row>
    <row r="39" spans="1:7" x14ac:dyDescent="0.25">
      <c r="A39" s="254"/>
      <c r="B39" s="257"/>
      <c r="C39" s="21" t="s">
        <v>103</v>
      </c>
      <c r="D39" s="22"/>
      <c r="E39" s="47">
        <f>SUBTOTAL(9,E35:E38)</f>
        <v>9821105</v>
      </c>
      <c r="F39" s="47">
        <f>SUBTOTAL(9,F35:F38)</f>
        <v>0</v>
      </c>
      <c r="G39" s="77">
        <f t="shared" si="0"/>
        <v>9821105</v>
      </c>
    </row>
    <row r="40" spans="1:7" x14ac:dyDescent="0.25">
      <c r="A40" s="254"/>
      <c r="B40" s="257"/>
      <c r="C40" s="259" t="s">
        <v>104</v>
      </c>
      <c r="D40" s="20" t="s">
        <v>81</v>
      </c>
      <c r="E40" s="46">
        <v>247320</v>
      </c>
      <c r="F40" s="101"/>
      <c r="G40" s="71">
        <f t="shared" si="0"/>
        <v>247320</v>
      </c>
    </row>
    <row r="41" spans="1:7" x14ac:dyDescent="0.25">
      <c r="A41" s="254"/>
      <c r="B41" s="257"/>
      <c r="C41" s="259"/>
      <c r="D41" s="20" t="s">
        <v>101</v>
      </c>
      <c r="E41" s="46">
        <v>32680</v>
      </c>
      <c r="F41" s="73"/>
      <c r="G41" s="71">
        <f t="shared" si="0"/>
        <v>32680</v>
      </c>
    </row>
    <row r="42" spans="1:7" x14ac:dyDescent="0.25">
      <c r="A42" s="254"/>
      <c r="B42" s="257"/>
      <c r="C42" s="21" t="s">
        <v>105</v>
      </c>
      <c r="D42" s="22"/>
      <c r="E42" s="47">
        <f>SUBTOTAL(9,E40:E41)</f>
        <v>280000</v>
      </c>
      <c r="F42" s="47">
        <f>SUBTOTAL(9,F40:F41)</f>
        <v>0</v>
      </c>
      <c r="G42" s="77">
        <f t="shared" si="0"/>
        <v>280000</v>
      </c>
    </row>
    <row r="43" spans="1:7" x14ac:dyDescent="0.25">
      <c r="A43" s="254"/>
      <c r="B43" s="257"/>
      <c r="C43" s="183" t="s">
        <v>106</v>
      </c>
      <c r="D43" s="20" t="s">
        <v>81</v>
      </c>
      <c r="E43" s="46">
        <v>429000</v>
      </c>
      <c r="F43" s="73"/>
      <c r="G43" s="71">
        <f t="shared" si="0"/>
        <v>429000</v>
      </c>
    </row>
    <row r="44" spans="1:7" x14ac:dyDescent="0.25">
      <c r="A44" s="254"/>
      <c r="B44" s="257"/>
      <c r="C44" s="21" t="s">
        <v>107</v>
      </c>
      <c r="D44" s="22"/>
      <c r="E44" s="47">
        <f>SUBTOTAL(9,E43:E43)</f>
        <v>429000</v>
      </c>
      <c r="F44" s="73"/>
      <c r="G44" s="77">
        <f t="shared" si="0"/>
        <v>429000</v>
      </c>
    </row>
    <row r="45" spans="1:7" x14ac:dyDescent="0.25">
      <c r="A45" s="254"/>
      <c r="B45" s="257"/>
      <c r="C45" s="259" t="s">
        <v>108</v>
      </c>
      <c r="D45" s="20" t="s">
        <v>81</v>
      </c>
      <c r="E45" s="46">
        <f>150000+1214600+20000</f>
        <v>1384600</v>
      </c>
      <c r="F45" s="73"/>
      <c r="G45" s="71">
        <f t="shared" si="0"/>
        <v>1384600</v>
      </c>
    </row>
    <row r="46" spans="1:7" x14ac:dyDescent="0.25">
      <c r="A46" s="254"/>
      <c r="B46" s="257"/>
      <c r="C46" s="257"/>
      <c r="D46" s="20" t="s">
        <v>109</v>
      </c>
      <c r="E46" s="46">
        <f>382440+100000+192</f>
        <v>482632</v>
      </c>
      <c r="F46" s="101">
        <v>-21375</v>
      </c>
      <c r="G46" s="71">
        <f t="shared" si="0"/>
        <v>461257</v>
      </c>
    </row>
    <row r="47" spans="1:7" x14ac:dyDescent="0.25">
      <c r="A47" s="254"/>
      <c r="B47" s="257"/>
      <c r="C47" s="257"/>
      <c r="D47" s="20" t="s">
        <v>92</v>
      </c>
      <c r="E47" s="46">
        <v>393463</v>
      </c>
      <c r="F47" s="101"/>
      <c r="G47" s="71">
        <f t="shared" si="0"/>
        <v>393463</v>
      </c>
    </row>
    <row r="48" spans="1:7" x14ac:dyDescent="0.25">
      <c r="A48" s="254"/>
      <c r="B48" s="257"/>
      <c r="C48" s="257"/>
      <c r="D48" s="20" t="s">
        <v>110</v>
      </c>
      <c r="E48" s="46">
        <f>910062-119400-359463</f>
        <v>431199</v>
      </c>
      <c r="F48" s="101"/>
      <c r="G48" s="71">
        <f t="shared" si="0"/>
        <v>431199</v>
      </c>
    </row>
    <row r="49" spans="1:9" x14ac:dyDescent="0.25">
      <c r="A49" s="254"/>
      <c r="B49" s="257"/>
      <c r="C49" s="257"/>
      <c r="D49" s="20" t="s">
        <v>86</v>
      </c>
      <c r="E49" s="46">
        <v>696818</v>
      </c>
      <c r="F49" s="101"/>
      <c r="G49" s="71">
        <f t="shared" si="0"/>
        <v>696818</v>
      </c>
      <c r="H49" s="88"/>
      <c r="I49" s="88"/>
    </row>
    <row r="50" spans="1:9" ht="24" x14ac:dyDescent="0.25">
      <c r="A50" s="254"/>
      <c r="B50" s="257"/>
      <c r="C50" s="183" t="s">
        <v>111</v>
      </c>
      <c r="D50" s="20" t="s">
        <v>109</v>
      </c>
      <c r="E50" s="48">
        <f>3029177.6</f>
        <v>3029177.6</v>
      </c>
      <c r="F50" s="101">
        <v>5253</v>
      </c>
      <c r="G50" s="71">
        <f t="shared" si="0"/>
        <v>3034430.6</v>
      </c>
    </row>
    <row r="51" spans="1:9" ht="36" x14ac:dyDescent="0.25">
      <c r="A51" s="254"/>
      <c r="B51" s="257"/>
      <c r="C51" s="183" t="s">
        <v>266</v>
      </c>
      <c r="D51" s="20" t="s">
        <v>109</v>
      </c>
      <c r="E51" s="48"/>
      <c r="F51" s="184">
        <v>504</v>
      </c>
      <c r="G51" s="71">
        <f t="shared" si="0"/>
        <v>504</v>
      </c>
    </row>
    <row r="52" spans="1:9" x14ac:dyDescent="0.25">
      <c r="A52" s="254"/>
      <c r="B52" s="257"/>
      <c r="C52" s="21" t="s">
        <v>112</v>
      </c>
      <c r="D52" s="22"/>
      <c r="E52" s="47">
        <f>SUBTOTAL(9,E45:E51)</f>
        <v>6417889.5999999996</v>
      </c>
      <c r="F52" s="47">
        <f t="shared" ref="F52:G52" si="1">SUBTOTAL(9,F45:F51)</f>
        <v>-15618</v>
      </c>
      <c r="G52" s="185">
        <f t="shared" si="1"/>
        <v>6402271.5999999996</v>
      </c>
    </row>
    <row r="53" spans="1:9" x14ac:dyDescent="0.25">
      <c r="A53" s="254"/>
      <c r="B53" s="257"/>
      <c r="C53" s="259" t="s">
        <v>113</v>
      </c>
      <c r="D53" s="20" t="s">
        <v>81</v>
      </c>
      <c r="E53" s="46">
        <f>274344+3366000</f>
        <v>3640344</v>
      </c>
      <c r="F53" s="73"/>
      <c r="G53" s="71">
        <f t="shared" si="0"/>
        <v>3640344</v>
      </c>
    </row>
    <row r="54" spans="1:9" x14ac:dyDescent="0.25">
      <c r="A54" s="254"/>
      <c r="B54" s="257"/>
      <c r="C54" s="257"/>
      <c r="D54" s="20" t="s">
        <v>85</v>
      </c>
      <c r="E54" s="46">
        <v>2440400</v>
      </c>
      <c r="F54" s="101">
        <v>-92300</v>
      </c>
      <c r="G54" s="71">
        <f t="shared" si="0"/>
        <v>2348100</v>
      </c>
    </row>
    <row r="55" spans="1:9" x14ac:dyDescent="0.25">
      <c r="A55" s="254"/>
      <c r="B55" s="257"/>
      <c r="C55" s="257"/>
      <c r="D55" s="20" t="s">
        <v>92</v>
      </c>
      <c r="E55" s="46">
        <v>6150</v>
      </c>
      <c r="F55" s="101"/>
      <c r="G55" s="71">
        <f t="shared" si="0"/>
        <v>6150</v>
      </c>
    </row>
    <row r="56" spans="1:9" x14ac:dyDescent="0.25">
      <c r="A56" s="254"/>
      <c r="B56" s="257"/>
      <c r="C56" s="257"/>
      <c r="D56" s="20" t="s">
        <v>110</v>
      </c>
      <c r="E56" s="46">
        <v>335825</v>
      </c>
      <c r="F56" s="101">
        <v>700</v>
      </c>
      <c r="G56" s="71">
        <f t="shared" si="0"/>
        <v>336525</v>
      </c>
      <c r="H56" s="88"/>
      <c r="I56" s="88"/>
    </row>
    <row r="57" spans="1:9" x14ac:dyDescent="0.25">
      <c r="A57" s="254"/>
      <c r="B57" s="257"/>
      <c r="C57" s="257"/>
      <c r="D57" s="20" t="s">
        <v>86</v>
      </c>
      <c r="E57" s="46">
        <v>40170</v>
      </c>
      <c r="F57" s="101"/>
      <c r="G57" s="71">
        <f t="shared" si="0"/>
        <v>40170</v>
      </c>
    </row>
    <row r="58" spans="1:9" x14ac:dyDescent="0.25">
      <c r="A58" s="254"/>
      <c r="B58" s="257"/>
      <c r="C58" s="21" t="s">
        <v>114</v>
      </c>
      <c r="D58" s="22"/>
      <c r="E58" s="47">
        <f>SUBTOTAL(9,E53:E57)</f>
        <v>6462889</v>
      </c>
      <c r="F58" s="47">
        <f>SUBTOTAL(9,F53:F57)</f>
        <v>-91600</v>
      </c>
      <c r="G58" s="77">
        <f t="shared" si="0"/>
        <v>6371289</v>
      </c>
    </row>
    <row r="59" spans="1:9" ht="24" x14ac:dyDescent="0.25">
      <c r="A59" s="254"/>
      <c r="B59" s="257"/>
      <c r="C59" s="23" t="s">
        <v>115</v>
      </c>
      <c r="D59" s="20" t="s">
        <v>81</v>
      </c>
      <c r="E59" s="46">
        <v>871000</v>
      </c>
      <c r="F59" s="73"/>
      <c r="G59" s="71">
        <f t="shared" si="0"/>
        <v>871000</v>
      </c>
    </row>
    <row r="60" spans="1:9" x14ac:dyDescent="0.25">
      <c r="A60" s="254"/>
      <c r="B60" s="257"/>
      <c r="C60" s="21" t="s">
        <v>116</v>
      </c>
      <c r="D60" s="20"/>
      <c r="E60" s="47">
        <f>SUBTOTAL(9,E59:E59)</f>
        <v>871000</v>
      </c>
      <c r="F60" s="73"/>
      <c r="G60" s="77">
        <f t="shared" si="0"/>
        <v>871000</v>
      </c>
    </row>
    <row r="61" spans="1:9" x14ac:dyDescent="0.25">
      <c r="A61" s="254"/>
      <c r="B61" s="257"/>
      <c r="C61" s="259" t="s">
        <v>117</v>
      </c>
      <c r="D61" s="20" t="s">
        <v>81</v>
      </c>
      <c r="E61" s="46">
        <v>118000</v>
      </c>
      <c r="F61" s="73"/>
      <c r="G61" s="71">
        <f t="shared" si="0"/>
        <v>118000</v>
      </c>
    </row>
    <row r="62" spans="1:9" x14ac:dyDescent="0.25">
      <c r="A62" s="254"/>
      <c r="B62" s="257"/>
      <c r="C62" s="259"/>
      <c r="D62" s="20" t="s">
        <v>100</v>
      </c>
      <c r="E62" s="46">
        <v>62000</v>
      </c>
      <c r="F62" s="73"/>
      <c r="G62" s="71">
        <f t="shared" si="0"/>
        <v>62000</v>
      </c>
    </row>
    <row r="63" spans="1:9" x14ac:dyDescent="0.25">
      <c r="A63" s="254"/>
      <c r="B63" s="257"/>
      <c r="C63" s="259"/>
      <c r="D63" s="20" t="s">
        <v>85</v>
      </c>
      <c r="E63" s="46">
        <v>97088</v>
      </c>
      <c r="F63" s="73"/>
      <c r="G63" s="71">
        <f t="shared" si="0"/>
        <v>97088</v>
      </c>
    </row>
    <row r="64" spans="1:9" x14ac:dyDescent="0.25">
      <c r="A64" s="254"/>
      <c r="B64" s="257"/>
      <c r="C64" s="21" t="s">
        <v>118</v>
      </c>
      <c r="D64" s="22"/>
      <c r="E64" s="47">
        <f>SUBTOTAL(9,E61:E63)</f>
        <v>277088</v>
      </c>
      <c r="F64" s="73"/>
      <c r="G64" s="77">
        <f t="shared" si="0"/>
        <v>277088</v>
      </c>
    </row>
    <row r="65" spans="1:9" ht="24.75" thickBot="1" x14ac:dyDescent="0.3">
      <c r="A65" s="255"/>
      <c r="B65" s="24" t="s">
        <v>82</v>
      </c>
      <c r="C65" s="25"/>
      <c r="D65" s="26"/>
      <c r="E65" s="49">
        <f>E17+E21+E26+E34+E39+E42+E44+E52+E58+E60+E64</f>
        <v>44318382.600000001</v>
      </c>
      <c r="F65" s="49">
        <f>F17+F21+F26+F34+F39+F42+F44+F52+F58+F60+F64</f>
        <v>-76018</v>
      </c>
      <c r="G65" s="76">
        <f t="shared" si="0"/>
        <v>44242364.600000001</v>
      </c>
      <c r="I65" s="89"/>
    </row>
    <row r="66" spans="1:9" x14ac:dyDescent="0.25">
      <c r="A66" s="231" t="s">
        <v>6</v>
      </c>
      <c r="B66" s="234" t="s">
        <v>119</v>
      </c>
      <c r="C66" s="234" t="s">
        <v>80</v>
      </c>
      <c r="D66" s="27" t="s">
        <v>81</v>
      </c>
      <c r="E66" s="50">
        <f>17429+12000</f>
        <v>29429</v>
      </c>
      <c r="F66" s="100">
        <v>3800</v>
      </c>
      <c r="G66" s="71">
        <f t="shared" si="0"/>
        <v>33229</v>
      </c>
    </row>
    <row r="67" spans="1:9" x14ac:dyDescent="0.25">
      <c r="A67" s="231"/>
      <c r="B67" s="235"/>
      <c r="C67" s="235"/>
      <c r="D67" s="181" t="s">
        <v>85</v>
      </c>
      <c r="E67" s="51">
        <v>734600</v>
      </c>
      <c r="F67" s="73"/>
      <c r="G67" s="71">
        <f t="shared" si="0"/>
        <v>734600</v>
      </c>
    </row>
    <row r="68" spans="1:9" ht="24.75" thickBot="1" x14ac:dyDescent="0.3">
      <c r="A68" s="232"/>
      <c r="B68" s="28" t="s">
        <v>82</v>
      </c>
      <c r="C68" s="29"/>
      <c r="D68" s="30"/>
      <c r="E68" s="87">
        <f>SUBTOTAL(9,E66:E67)</f>
        <v>764029</v>
      </c>
      <c r="F68" s="52">
        <f>SUBTOTAL(9,F66:F67)</f>
        <v>3800</v>
      </c>
      <c r="G68" s="76">
        <f t="shared" si="0"/>
        <v>767829</v>
      </c>
    </row>
    <row r="69" spans="1:9" ht="36" x14ac:dyDescent="0.25">
      <c r="A69" s="230" t="s">
        <v>16</v>
      </c>
      <c r="B69" s="182" t="s">
        <v>120</v>
      </c>
      <c r="C69" s="31" t="s">
        <v>88</v>
      </c>
      <c r="D69" s="15" t="s">
        <v>81</v>
      </c>
      <c r="E69" s="43">
        <v>290432</v>
      </c>
      <c r="F69" s="70"/>
      <c r="G69" s="71">
        <f t="shared" si="0"/>
        <v>290432</v>
      </c>
    </row>
    <row r="70" spans="1:9" ht="24.75" thickBot="1" x14ac:dyDescent="0.3">
      <c r="A70" s="232"/>
      <c r="B70" s="28" t="s">
        <v>82</v>
      </c>
      <c r="C70" s="29"/>
      <c r="D70" s="30"/>
      <c r="E70" s="52">
        <f>SUBTOTAL(9,E69:E69)</f>
        <v>290432</v>
      </c>
      <c r="F70" s="72"/>
      <c r="G70" s="76">
        <f t="shared" si="0"/>
        <v>290432</v>
      </c>
    </row>
    <row r="71" spans="1:9" ht="36" x14ac:dyDescent="0.25">
      <c r="A71" s="230" t="s">
        <v>24</v>
      </c>
      <c r="B71" s="14" t="s">
        <v>121</v>
      </c>
      <c r="C71" s="31" t="s">
        <v>88</v>
      </c>
      <c r="D71" s="15" t="s">
        <v>81</v>
      </c>
      <c r="E71" s="43">
        <v>160480</v>
      </c>
      <c r="F71" s="70"/>
      <c r="G71" s="71">
        <f t="shared" si="0"/>
        <v>160480</v>
      </c>
    </row>
    <row r="72" spans="1:9" ht="24.75" thickBot="1" x14ac:dyDescent="0.3">
      <c r="A72" s="232"/>
      <c r="B72" s="28" t="s">
        <v>82</v>
      </c>
      <c r="C72" s="29"/>
      <c r="D72" s="30"/>
      <c r="E72" s="52">
        <f>SUBTOTAL(9,E71:E71)</f>
        <v>160480</v>
      </c>
      <c r="F72" s="72"/>
      <c r="G72" s="76">
        <f t="shared" si="0"/>
        <v>160480</v>
      </c>
    </row>
    <row r="73" spans="1:9" ht="36" x14ac:dyDescent="0.25">
      <c r="A73" s="230" t="s">
        <v>26</v>
      </c>
      <c r="B73" s="14" t="s">
        <v>122</v>
      </c>
      <c r="C73" s="31" t="s">
        <v>88</v>
      </c>
      <c r="D73" s="15" t="s">
        <v>81</v>
      </c>
      <c r="E73" s="43">
        <v>151950</v>
      </c>
      <c r="F73" s="70"/>
      <c r="G73" s="71">
        <f t="shared" si="0"/>
        <v>151950</v>
      </c>
    </row>
    <row r="74" spans="1:9" ht="24.75" thickBot="1" x14ac:dyDescent="0.3">
      <c r="A74" s="232"/>
      <c r="B74" s="28" t="s">
        <v>82</v>
      </c>
      <c r="C74" s="29"/>
      <c r="D74" s="30"/>
      <c r="E74" s="52">
        <f>SUBTOTAL(9,E73:E73)</f>
        <v>151950</v>
      </c>
      <c r="F74" s="72"/>
      <c r="G74" s="76">
        <f t="shared" si="0"/>
        <v>151950</v>
      </c>
    </row>
    <row r="75" spans="1:9" ht="48" x14ac:dyDescent="0.25">
      <c r="A75" s="230" t="s">
        <v>30</v>
      </c>
      <c r="B75" s="31" t="s">
        <v>123</v>
      </c>
      <c r="C75" s="31" t="s">
        <v>88</v>
      </c>
      <c r="D75" s="15" t="s">
        <v>81</v>
      </c>
      <c r="E75" s="43">
        <v>1561626</v>
      </c>
      <c r="F75" s="70"/>
      <c r="G75" s="71">
        <f t="shared" si="0"/>
        <v>1561626</v>
      </c>
    </row>
    <row r="76" spans="1:9" ht="24.75" thickBot="1" x14ac:dyDescent="0.3">
      <c r="A76" s="232"/>
      <c r="B76" s="28" t="s">
        <v>82</v>
      </c>
      <c r="C76" s="29"/>
      <c r="D76" s="30"/>
      <c r="E76" s="52">
        <f>SUBTOTAL(9,E75:E75)</f>
        <v>1561626</v>
      </c>
      <c r="F76" s="72"/>
      <c r="G76" s="76">
        <f t="shared" si="0"/>
        <v>1561626</v>
      </c>
    </row>
    <row r="77" spans="1:9" ht="36" x14ac:dyDescent="0.25">
      <c r="A77" s="230" t="s">
        <v>38</v>
      </c>
      <c r="B77" s="14" t="s">
        <v>124</v>
      </c>
      <c r="C77" s="31" t="s">
        <v>88</v>
      </c>
      <c r="D77" s="15" t="s">
        <v>81</v>
      </c>
      <c r="E77" s="43">
        <v>216128</v>
      </c>
      <c r="F77" s="70"/>
      <c r="G77" s="71">
        <f t="shared" si="0"/>
        <v>216128</v>
      </c>
    </row>
    <row r="78" spans="1:9" ht="24.75" thickBot="1" x14ac:dyDescent="0.3">
      <c r="A78" s="232"/>
      <c r="B78" s="28" t="s">
        <v>82</v>
      </c>
      <c r="C78" s="29"/>
      <c r="D78" s="30"/>
      <c r="E78" s="52">
        <f>SUBTOTAL(9,E77:E77)</f>
        <v>216128</v>
      </c>
      <c r="F78" s="72"/>
      <c r="G78" s="76">
        <f t="shared" ref="G78:G141" si="2">E78+F78</f>
        <v>216128</v>
      </c>
    </row>
    <row r="79" spans="1:9" ht="36" x14ac:dyDescent="0.25">
      <c r="A79" s="230" t="s">
        <v>46</v>
      </c>
      <c r="B79" s="14" t="s">
        <v>125</v>
      </c>
      <c r="C79" s="31" t="s">
        <v>88</v>
      </c>
      <c r="D79" s="15" t="s">
        <v>81</v>
      </c>
      <c r="E79" s="43">
        <v>139090</v>
      </c>
      <c r="F79" s="70"/>
      <c r="G79" s="71">
        <f t="shared" si="2"/>
        <v>139090</v>
      </c>
    </row>
    <row r="80" spans="1:9" ht="24.75" thickBot="1" x14ac:dyDescent="0.3">
      <c r="A80" s="232"/>
      <c r="B80" s="28" t="s">
        <v>82</v>
      </c>
      <c r="C80" s="29"/>
      <c r="D80" s="30"/>
      <c r="E80" s="52">
        <f>SUBTOTAL(9,E79:E79)</f>
        <v>139090</v>
      </c>
      <c r="F80" s="72"/>
      <c r="G80" s="76">
        <f t="shared" si="2"/>
        <v>139090</v>
      </c>
    </row>
    <row r="81" spans="1:7" ht="36" x14ac:dyDescent="0.25">
      <c r="A81" s="230" t="s">
        <v>48</v>
      </c>
      <c r="B81" s="14" t="s">
        <v>126</v>
      </c>
      <c r="C81" s="31" t="s">
        <v>88</v>
      </c>
      <c r="D81" s="15" t="s">
        <v>81</v>
      </c>
      <c r="E81" s="43">
        <v>257306</v>
      </c>
      <c r="F81" s="70"/>
      <c r="G81" s="71">
        <f t="shared" si="2"/>
        <v>257306</v>
      </c>
    </row>
    <row r="82" spans="1:7" ht="24.75" thickBot="1" x14ac:dyDescent="0.3">
      <c r="A82" s="232"/>
      <c r="B82" s="28" t="s">
        <v>82</v>
      </c>
      <c r="C82" s="29"/>
      <c r="D82" s="30"/>
      <c r="E82" s="52">
        <f>SUBTOTAL(9,E81:E81)</f>
        <v>257306</v>
      </c>
      <c r="F82" s="72"/>
      <c r="G82" s="76">
        <f t="shared" si="2"/>
        <v>257306</v>
      </c>
    </row>
    <row r="83" spans="1:7" ht="36" x14ac:dyDescent="0.25">
      <c r="A83" s="230" t="s">
        <v>54</v>
      </c>
      <c r="B83" s="14" t="s">
        <v>127</v>
      </c>
      <c r="C83" s="31" t="s">
        <v>88</v>
      </c>
      <c r="D83" s="15" t="s">
        <v>81</v>
      </c>
      <c r="E83" s="43">
        <v>144134</v>
      </c>
      <c r="F83" s="70"/>
      <c r="G83" s="71">
        <f t="shared" si="2"/>
        <v>144134</v>
      </c>
    </row>
    <row r="84" spans="1:7" ht="24.75" thickBot="1" x14ac:dyDescent="0.3">
      <c r="A84" s="232"/>
      <c r="B84" s="28" t="s">
        <v>82</v>
      </c>
      <c r="C84" s="29"/>
      <c r="D84" s="30"/>
      <c r="E84" s="52">
        <f>SUBTOTAL(9,E83:E83)</f>
        <v>144134</v>
      </c>
      <c r="F84" s="72"/>
      <c r="G84" s="76">
        <f t="shared" si="2"/>
        <v>144134</v>
      </c>
    </row>
    <row r="85" spans="1:7" ht="36" x14ac:dyDescent="0.25">
      <c r="A85" s="230" t="s">
        <v>56</v>
      </c>
      <c r="B85" s="14" t="s">
        <v>128</v>
      </c>
      <c r="C85" s="31" t="s">
        <v>88</v>
      </c>
      <c r="D85" s="15" t="s">
        <v>81</v>
      </c>
      <c r="E85" s="43">
        <v>197672</v>
      </c>
      <c r="F85" s="70"/>
      <c r="G85" s="71">
        <f t="shared" si="2"/>
        <v>197672</v>
      </c>
    </row>
    <row r="86" spans="1:7" ht="24.75" thickBot="1" x14ac:dyDescent="0.3">
      <c r="A86" s="232"/>
      <c r="B86" s="28" t="s">
        <v>82</v>
      </c>
      <c r="C86" s="29"/>
      <c r="D86" s="30"/>
      <c r="E86" s="52">
        <f>SUBTOTAL(9,E85:E85)</f>
        <v>197672</v>
      </c>
      <c r="F86" s="72"/>
      <c r="G86" s="76">
        <f t="shared" si="2"/>
        <v>197672</v>
      </c>
    </row>
    <row r="87" spans="1:7" x14ac:dyDescent="0.25">
      <c r="A87" s="230" t="s">
        <v>58</v>
      </c>
      <c r="B87" s="233" t="s">
        <v>129</v>
      </c>
      <c r="C87" s="233" t="s">
        <v>104</v>
      </c>
      <c r="D87" s="15" t="s">
        <v>81</v>
      </c>
      <c r="E87" s="43">
        <v>9660</v>
      </c>
      <c r="F87" s="70"/>
      <c r="G87" s="71">
        <f t="shared" si="2"/>
        <v>9660</v>
      </c>
    </row>
    <row r="88" spans="1:7" x14ac:dyDescent="0.25">
      <c r="A88" s="231"/>
      <c r="B88" s="235"/>
      <c r="C88" s="235"/>
      <c r="D88" s="32" t="s">
        <v>85</v>
      </c>
      <c r="E88" s="53">
        <v>481250</v>
      </c>
      <c r="F88" s="73"/>
      <c r="G88" s="71">
        <f t="shared" si="2"/>
        <v>481250</v>
      </c>
    </row>
    <row r="89" spans="1:7" ht="24.75" thickBot="1" x14ac:dyDescent="0.3">
      <c r="A89" s="232"/>
      <c r="B89" s="28" t="s">
        <v>82</v>
      </c>
      <c r="C89" s="29"/>
      <c r="D89" s="30"/>
      <c r="E89" s="52">
        <f>SUBTOTAL(9,E87:E88)</f>
        <v>490910</v>
      </c>
      <c r="F89" s="72"/>
      <c r="G89" s="76">
        <f t="shared" si="2"/>
        <v>490910</v>
      </c>
    </row>
    <row r="90" spans="1:7" x14ac:dyDescent="0.25">
      <c r="A90" s="230" t="s">
        <v>60</v>
      </c>
      <c r="B90" s="233" t="s">
        <v>130</v>
      </c>
      <c r="C90" s="233" t="s">
        <v>106</v>
      </c>
      <c r="D90" s="15" t="s">
        <v>81</v>
      </c>
      <c r="E90" s="43">
        <f>1715056</f>
        <v>1715056</v>
      </c>
      <c r="F90" s="70"/>
      <c r="G90" s="71">
        <f t="shared" si="2"/>
        <v>1715056</v>
      </c>
    </row>
    <row r="91" spans="1:7" x14ac:dyDescent="0.25">
      <c r="A91" s="231"/>
      <c r="B91" s="235"/>
      <c r="C91" s="235"/>
      <c r="D91" s="33" t="s">
        <v>84</v>
      </c>
      <c r="E91" s="54">
        <f>10400+77000</f>
        <v>87400</v>
      </c>
      <c r="F91" s="73"/>
      <c r="G91" s="71">
        <f t="shared" si="2"/>
        <v>87400</v>
      </c>
    </row>
    <row r="92" spans="1:7" ht="24.75" thickBot="1" x14ac:dyDescent="0.3">
      <c r="A92" s="232"/>
      <c r="B92" s="28" t="s">
        <v>82</v>
      </c>
      <c r="C92" s="29"/>
      <c r="D92" s="30"/>
      <c r="E92" s="52">
        <f>SUBTOTAL(9,E90:E91)</f>
        <v>1802456</v>
      </c>
      <c r="F92" s="72"/>
      <c r="G92" s="76">
        <f t="shared" si="2"/>
        <v>1802456</v>
      </c>
    </row>
    <row r="93" spans="1:7" x14ac:dyDescent="0.25">
      <c r="A93" s="230" t="s">
        <v>62</v>
      </c>
      <c r="B93" s="233" t="s">
        <v>131</v>
      </c>
      <c r="C93" s="233" t="s">
        <v>106</v>
      </c>
      <c r="D93" s="15" t="s">
        <v>81</v>
      </c>
      <c r="E93" s="43">
        <f>372749</f>
        <v>372749</v>
      </c>
      <c r="F93" s="70"/>
      <c r="G93" s="71">
        <f t="shared" si="2"/>
        <v>372749</v>
      </c>
    </row>
    <row r="94" spans="1:7" x14ac:dyDescent="0.25">
      <c r="A94" s="231"/>
      <c r="B94" s="235"/>
      <c r="C94" s="235"/>
      <c r="D94" s="33" t="s">
        <v>84</v>
      </c>
      <c r="E94" s="54">
        <v>10710</v>
      </c>
      <c r="F94" s="101"/>
      <c r="G94" s="71">
        <f t="shared" si="2"/>
        <v>10710</v>
      </c>
    </row>
    <row r="95" spans="1:7" ht="24.75" thickBot="1" x14ac:dyDescent="0.3">
      <c r="A95" s="232"/>
      <c r="B95" s="28" t="s">
        <v>82</v>
      </c>
      <c r="C95" s="29"/>
      <c r="D95" s="30"/>
      <c r="E95" s="87">
        <f>SUBTOTAL(9,E93:E94)</f>
        <v>383459</v>
      </c>
      <c r="F95" s="52">
        <f>SUBTOTAL(9,F93:F94)</f>
        <v>0</v>
      </c>
      <c r="G95" s="76">
        <f t="shared" si="2"/>
        <v>383459</v>
      </c>
    </row>
    <row r="96" spans="1:7" x14ac:dyDescent="0.25">
      <c r="A96" s="230" t="s">
        <v>64</v>
      </c>
      <c r="B96" s="233" t="s">
        <v>132</v>
      </c>
      <c r="C96" s="233" t="s">
        <v>106</v>
      </c>
      <c r="D96" s="15" t="s">
        <v>81</v>
      </c>
      <c r="E96" s="43">
        <f>1374426</f>
        <v>1374426</v>
      </c>
      <c r="F96" s="70"/>
      <c r="G96" s="71">
        <f t="shared" si="2"/>
        <v>1374426</v>
      </c>
    </row>
    <row r="97" spans="1:7" x14ac:dyDescent="0.25">
      <c r="A97" s="231"/>
      <c r="B97" s="234"/>
      <c r="C97" s="234"/>
      <c r="D97" s="33" t="s">
        <v>84</v>
      </c>
      <c r="E97" s="54">
        <f>19000</f>
        <v>19000</v>
      </c>
      <c r="F97" s="73"/>
      <c r="G97" s="71">
        <f t="shared" si="2"/>
        <v>19000</v>
      </c>
    </row>
    <row r="98" spans="1:7" x14ac:dyDescent="0.25">
      <c r="A98" s="231"/>
      <c r="B98" s="235"/>
      <c r="C98" s="235"/>
      <c r="D98" s="32" t="s">
        <v>110</v>
      </c>
      <c r="E98" s="53">
        <v>48316</v>
      </c>
      <c r="F98" s="73"/>
      <c r="G98" s="71">
        <f t="shared" si="2"/>
        <v>48316</v>
      </c>
    </row>
    <row r="99" spans="1:7" ht="24.75" thickBot="1" x14ac:dyDescent="0.3">
      <c r="A99" s="232"/>
      <c r="B99" s="28" t="s">
        <v>82</v>
      </c>
      <c r="C99" s="29"/>
      <c r="D99" s="30"/>
      <c r="E99" s="52">
        <f>SUBTOTAL(9,E96:E98)</f>
        <v>1441742</v>
      </c>
      <c r="F99" s="72"/>
      <c r="G99" s="76">
        <f t="shared" si="2"/>
        <v>1441742</v>
      </c>
    </row>
    <row r="100" spans="1:7" ht="15" customHeight="1" x14ac:dyDescent="0.25">
      <c r="A100" s="230" t="s">
        <v>66</v>
      </c>
      <c r="B100" s="233" t="s">
        <v>133</v>
      </c>
      <c r="C100" s="233" t="s">
        <v>106</v>
      </c>
      <c r="D100" s="15" t="s">
        <v>81</v>
      </c>
      <c r="E100" s="43">
        <f>742151</f>
        <v>742151</v>
      </c>
      <c r="F100" s="100">
        <v>41453</v>
      </c>
      <c r="G100" s="71">
        <f t="shared" si="2"/>
        <v>783604</v>
      </c>
    </row>
    <row r="101" spans="1:7" x14ac:dyDescent="0.25">
      <c r="A101" s="231"/>
      <c r="B101" s="234"/>
      <c r="C101" s="234"/>
      <c r="D101" s="32" t="s">
        <v>84</v>
      </c>
      <c r="E101" s="53">
        <f>72920+330000</f>
        <v>402920</v>
      </c>
      <c r="F101" s="101">
        <v>1800</v>
      </c>
      <c r="G101" s="71">
        <f t="shared" si="2"/>
        <v>404720</v>
      </c>
    </row>
    <row r="102" spans="1:7" x14ac:dyDescent="0.25">
      <c r="A102" s="231"/>
      <c r="B102" s="235"/>
      <c r="C102" s="235"/>
      <c r="D102" s="34" t="s">
        <v>86</v>
      </c>
      <c r="E102" s="55"/>
      <c r="F102" s="101">
        <v>12800</v>
      </c>
      <c r="G102" s="71">
        <f t="shared" si="2"/>
        <v>12800</v>
      </c>
    </row>
    <row r="103" spans="1:7" ht="24.75" thickBot="1" x14ac:dyDescent="0.3">
      <c r="A103" s="232"/>
      <c r="B103" s="28" t="s">
        <v>82</v>
      </c>
      <c r="C103" s="29"/>
      <c r="D103" s="30"/>
      <c r="E103" s="87">
        <f>SUBTOTAL(9,E100:E102)</f>
        <v>1145071</v>
      </c>
      <c r="F103" s="179">
        <f>SUBTOTAL(9,F100:F102)</f>
        <v>56053</v>
      </c>
      <c r="G103" s="76">
        <f t="shared" si="2"/>
        <v>1201124</v>
      </c>
    </row>
    <row r="104" spans="1:7" x14ac:dyDescent="0.25">
      <c r="A104" s="230" t="s">
        <v>68</v>
      </c>
      <c r="B104" s="233" t="s">
        <v>134</v>
      </c>
      <c r="C104" s="233" t="s">
        <v>106</v>
      </c>
      <c r="D104" s="15" t="s">
        <v>81</v>
      </c>
      <c r="E104" s="43">
        <f>91067</f>
        <v>91067</v>
      </c>
      <c r="F104" s="100">
        <v>-41453</v>
      </c>
      <c r="G104" s="71">
        <f t="shared" si="2"/>
        <v>49614</v>
      </c>
    </row>
    <row r="105" spans="1:7" ht="30" customHeight="1" x14ac:dyDescent="0.25">
      <c r="A105" s="231"/>
      <c r="B105" s="235"/>
      <c r="C105" s="235"/>
      <c r="D105" s="32" t="s">
        <v>84</v>
      </c>
      <c r="E105" s="53">
        <v>5580</v>
      </c>
      <c r="F105" s="101">
        <v>-1800</v>
      </c>
      <c r="G105" s="71">
        <f t="shared" si="2"/>
        <v>3780</v>
      </c>
    </row>
    <row r="106" spans="1:7" ht="24.75" thickBot="1" x14ac:dyDescent="0.3">
      <c r="A106" s="232"/>
      <c r="B106" s="28" t="s">
        <v>82</v>
      </c>
      <c r="C106" s="29"/>
      <c r="D106" s="30"/>
      <c r="E106" s="87">
        <f>SUBTOTAL(9,E104:E105)</f>
        <v>96647</v>
      </c>
      <c r="F106" s="52">
        <f>SUBTOTAL(9,F104:F105)</f>
        <v>-43253</v>
      </c>
      <c r="G106" s="76">
        <f t="shared" si="2"/>
        <v>53394</v>
      </c>
    </row>
    <row r="107" spans="1:7" ht="15" customHeight="1" x14ac:dyDescent="0.25">
      <c r="A107" s="230" t="s">
        <v>70</v>
      </c>
      <c r="B107" s="233" t="s">
        <v>135</v>
      </c>
      <c r="C107" s="233" t="s">
        <v>108</v>
      </c>
      <c r="D107" s="15" t="s">
        <v>81</v>
      </c>
      <c r="E107" s="43">
        <f>441412</f>
        <v>441412</v>
      </c>
      <c r="F107" s="70"/>
      <c r="G107" s="71">
        <f t="shared" si="2"/>
        <v>441412</v>
      </c>
    </row>
    <row r="108" spans="1:7" x14ac:dyDescent="0.25">
      <c r="A108" s="231"/>
      <c r="B108" s="234"/>
      <c r="C108" s="234"/>
      <c r="D108" s="33" t="s">
        <v>84</v>
      </c>
      <c r="E108" s="54">
        <f>14000</f>
        <v>14000</v>
      </c>
      <c r="F108" s="73"/>
      <c r="G108" s="71">
        <f t="shared" si="2"/>
        <v>14000</v>
      </c>
    </row>
    <row r="109" spans="1:7" x14ac:dyDescent="0.25">
      <c r="A109" s="231"/>
      <c r="B109" s="234"/>
      <c r="C109" s="234"/>
      <c r="D109" s="32" t="s">
        <v>109</v>
      </c>
      <c r="E109" s="53">
        <v>1758265</v>
      </c>
      <c r="F109" s="101">
        <v>8394</v>
      </c>
      <c r="G109" s="71">
        <f t="shared" si="2"/>
        <v>1766659</v>
      </c>
    </row>
    <row r="110" spans="1:7" x14ac:dyDescent="0.25">
      <c r="A110" s="231"/>
      <c r="B110" s="235"/>
      <c r="C110" s="235"/>
      <c r="D110" s="34" t="s">
        <v>110</v>
      </c>
      <c r="E110" s="55">
        <v>19676</v>
      </c>
      <c r="F110" s="102"/>
      <c r="G110" s="71">
        <f t="shared" si="2"/>
        <v>19676</v>
      </c>
    </row>
    <row r="111" spans="1:7" ht="24.75" thickBot="1" x14ac:dyDescent="0.3">
      <c r="A111" s="232"/>
      <c r="B111" s="28" t="s">
        <v>82</v>
      </c>
      <c r="C111" s="29"/>
      <c r="D111" s="30"/>
      <c r="E111" s="87">
        <f>E107+E108+E109+E110</f>
        <v>2233353</v>
      </c>
      <c r="F111" s="52">
        <f>F107+F108+F109+F110</f>
        <v>8394</v>
      </c>
      <c r="G111" s="76">
        <f t="shared" si="2"/>
        <v>2241747</v>
      </c>
    </row>
    <row r="112" spans="1:7" x14ac:dyDescent="0.25">
      <c r="A112" s="230" t="s">
        <v>72</v>
      </c>
      <c r="B112" s="233" t="s">
        <v>136</v>
      </c>
      <c r="C112" s="233" t="s">
        <v>108</v>
      </c>
      <c r="D112" s="15" t="s">
        <v>81</v>
      </c>
      <c r="E112" s="43">
        <f>530403</f>
        <v>530403</v>
      </c>
      <c r="F112" s="70"/>
      <c r="G112" s="71">
        <f t="shared" si="2"/>
        <v>530403</v>
      </c>
    </row>
    <row r="113" spans="1:7" x14ac:dyDescent="0.25">
      <c r="A113" s="231"/>
      <c r="B113" s="234"/>
      <c r="C113" s="234"/>
      <c r="D113" s="33" t="s">
        <v>84</v>
      </c>
      <c r="E113" s="54">
        <f>5700</f>
        <v>5700</v>
      </c>
      <c r="F113" s="73"/>
      <c r="G113" s="71">
        <f t="shared" si="2"/>
        <v>5700</v>
      </c>
    </row>
    <row r="114" spans="1:7" x14ac:dyDescent="0.25">
      <c r="A114" s="231"/>
      <c r="B114" s="234"/>
      <c r="C114" s="234"/>
      <c r="D114" s="32" t="s">
        <v>109</v>
      </c>
      <c r="E114" s="53">
        <f>2722396-100000</f>
        <v>2622396</v>
      </c>
      <c r="F114" s="73">
        <v>677</v>
      </c>
      <c r="G114" s="71">
        <f t="shared" si="2"/>
        <v>2623073</v>
      </c>
    </row>
    <row r="115" spans="1:7" ht="24.75" thickBot="1" x14ac:dyDescent="0.3">
      <c r="A115" s="232"/>
      <c r="B115" s="28" t="s">
        <v>82</v>
      </c>
      <c r="C115" s="29"/>
      <c r="D115" s="30"/>
      <c r="E115" s="87">
        <f>SUBTOTAL(9,E112:E114)</f>
        <v>3158499</v>
      </c>
      <c r="F115" s="52">
        <f>SUBTOTAL(9,F112:F114)</f>
        <v>677</v>
      </c>
      <c r="G115" s="76">
        <f t="shared" si="2"/>
        <v>3159176</v>
      </c>
    </row>
    <row r="116" spans="1:7" x14ac:dyDescent="0.25">
      <c r="A116" s="230" t="s">
        <v>74</v>
      </c>
      <c r="B116" s="233" t="s">
        <v>137</v>
      </c>
      <c r="C116" s="233" t="s">
        <v>108</v>
      </c>
      <c r="D116" s="15" t="s">
        <v>81</v>
      </c>
      <c r="E116" s="43">
        <f>549160+196910</f>
        <v>746070</v>
      </c>
      <c r="F116" s="70"/>
      <c r="G116" s="71">
        <f t="shared" si="2"/>
        <v>746070</v>
      </c>
    </row>
    <row r="117" spans="1:7" x14ac:dyDescent="0.25">
      <c r="A117" s="231"/>
      <c r="B117" s="234"/>
      <c r="C117" s="234"/>
      <c r="D117" s="33" t="s">
        <v>84</v>
      </c>
      <c r="E117" s="54">
        <f>3190+50500+35500</f>
        <v>89190</v>
      </c>
      <c r="F117" s="73"/>
      <c r="G117" s="71">
        <f t="shared" si="2"/>
        <v>89190</v>
      </c>
    </row>
    <row r="118" spans="1:7" x14ac:dyDescent="0.25">
      <c r="A118" s="231"/>
      <c r="B118" s="234"/>
      <c r="C118" s="234"/>
      <c r="D118" s="32" t="s">
        <v>109</v>
      </c>
      <c r="E118" s="53">
        <f>1477932+179861</f>
        <v>1657793</v>
      </c>
      <c r="F118" s="73">
        <v>649</v>
      </c>
      <c r="G118" s="71">
        <f t="shared" si="2"/>
        <v>1658442</v>
      </c>
    </row>
    <row r="119" spans="1:7" x14ac:dyDescent="0.25">
      <c r="A119" s="231"/>
      <c r="B119" s="235"/>
      <c r="C119" s="235"/>
      <c r="D119" s="34" t="s">
        <v>110</v>
      </c>
      <c r="E119" s="55">
        <v>29966</v>
      </c>
      <c r="F119" s="101"/>
      <c r="G119" s="71">
        <f t="shared" si="2"/>
        <v>29966</v>
      </c>
    </row>
    <row r="120" spans="1:7" ht="24.75" thickBot="1" x14ac:dyDescent="0.3">
      <c r="A120" s="232"/>
      <c r="B120" s="28" t="s">
        <v>82</v>
      </c>
      <c r="C120" s="29"/>
      <c r="D120" s="30"/>
      <c r="E120" s="87">
        <f>E116+E117+E118+E119</f>
        <v>2523019</v>
      </c>
      <c r="F120" s="52">
        <f>F116+F117+F118+F119</f>
        <v>649</v>
      </c>
      <c r="G120" s="76">
        <f t="shared" si="2"/>
        <v>2523668</v>
      </c>
    </row>
    <row r="121" spans="1:7" x14ac:dyDescent="0.25">
      <c r="A121" s="230" t="s">
        <v>138</v>
      </c>
      <c r="B121" s="233" t="s">
        <v>139</v>
      </c>
      <c r="C121" s="233" t="s">
        <v>108</v>
      </c>
      <c r="D121" s="15" t="s">
        <v>81</v>
      </c>
      <c r="E121" s="43">
        <f>477676+308802</f>
        <v>786478</v>
      </c>
      <c r="F121" s="70"/>
      <c r="G121" s="71">
        <f t="shared" si="2"/>
        <v>786478</v>
      </c>
    </row>
    <row r="122" spans="1:7" x14ac:dyDescent="0.25">
      <c r="A122" s="231"/>
      <c r="B122" s="234"/>
      <c r="C122" s="234"/>
      <c r="D122" s="33" t="s">
        <v>84</v>
      </c>
      <c r="E122" s="54">
        <f>960+3000+51000</f>
        <v>54960</v>
      </c>
      <c r="F122" s="73"/>
      <c r="G122" s="71">
        <f t="shared" si="2"/>
        <v>54960</v>
      </c>
    </row>
    <row r="123" spans="1:7" x14ac:dyDescent="0.25">
      <c r="A123" s="231"/>
      <c r="B123" s="234"/>
      <c r="C123" s="234"/>
      <c r="D123" s="32" t="s">
        <v>109</v>
      </c>
      <c r="E123" s="53">
        <f>1185733+361865</f>
        <v>1547598</v>
      </c>
      <c r="F123" s="73">
        <v>729</v>
      </c>
      <c r="G123" s="71">
        <f t="shared" si="2"/>
        <v>1548327</v>
      </c>
    </row>
    <row r="124" spans="1:7" x14ac:dyDescent="0.25">
      <c r="A124" s="231"/>
      <c r="B124" s="235"/>
      <c r="C124" s="235"/>
      <c r="D124" s="34" t="s">
        <v>110</v>
      </c>
      <c r="E124" s="55">
        <v>9085</v>
      </c>
      <c r="F124" s="73"/>
      <c r="G124" s="71">
        <f t="shared" si="2"/>
        <v>9085</v>
      </c>
    </row>
    <row r="125" spans="1:7" ht="24.75" thickBot="1" x14ac:dyDescent="0.3">
      <c r="A125" s="232"/>
      <c r="B125" s="28" t="s">
        <v>82</v>
      </c>
      <c r="C125" s="29"/>
      <c r="D125" s="30"/>
      <c r="E125" s="87">
        <f>SUBTOTAL(9,E121:E124)</f>
        <v>2398121</v>
      </c>
      <c r="F125" s="52">
        <f>SUBTOTAL(9,F121:F124)</f>
        <v>729</v>
      </c>
      <c r="G125" s="76">
        <f t="shared" si="2"/>
        <v>2398850</v>
      </c>
    </row>
    <row r="126" spans="1:7" x14ac:dyDescent="0.25">
      <c r="A126" s="230" t="s">
        <v>140</v>
      </c>
      <c r="B126" s="233" t="s">
        <v>141</v>
      </c>
      <c r="C126" s="233" t="s">
        <v>108</v>
      </c>
      <c r="D126" s="15" t="s">
        <v>81</v>
      </c>
      <c r="E126" s="43">
        <f>615775+156962</f>
        <v>772737</v>
      </c>
      <c r="F126" s="70"/>
      <c r="G126" s="71">
        <f t="shared" si="2"/>
        <v>772737</v>
      </c>
    </row>
    <row r="127" spans="1:7" x14ac:dyDescent="0.25">
      <c r="A127" s="231"/>
      <c r="B127" s="234"/>
      <c r="C127" s="234"/>
      <c r="D127" s="33" t="s">
        <v>84</v>
      </c>
      <c r="E127" s="54">
        <f>8390+45000+7700</f>
        <v>61090</v>
      </c>
      <c r="F127" s="73"/>
      <c r="G127" s="71">
        <f t="shared" si="2"/>
        <v>61090</v>
      </c>
    </row>
    <row r="128" spans="1:7" x14ac:dyDescent="0.25">
      <c r="A128" s="231"/>
      <c r="B128" s="234"/>
      <c r="C128" s="234"/>
      <c r="D128" s="32" t="s">
        <v>109</v>
      </c>
      <c r="E128" s="53">
        <f>1706292+118204</f>
        <v>1824496</v>
      </c>
      <c r="F128" s="73">
        <v>867</v>
      </c>
      <c r="G128" s="71">
        <f t="shared" si="2"/>
        <v>1825363</v>
      </c>
    </row>
    <row r="129" spans="1:7" x14ac:dyDescent="0.25">
      <c r="A129" s="231"/>
      <c r="B129" s="235"/>
      <c r="C129" s="235"/>
      <c r="D129" s="34" t="s">
        <v>110</v>
      </c>
      <c r="E129" s="55">
        <v>5404</v>
      </c>
      <c r="F129" s="73"/>
      <c r="G129" s="71">
        <f t="shared" si="2"/>
        <v>5404</v>
      </c>
    </row>
    <row r="130" spans="1:7" ht="24.75" thickBot="1" x14ac:dyDescent="0.3">
      <c r="A130" s="232"/>
      <c r="B130" s="28" t="s">
        <v>82</v>
      </c>
      <c r="C130" s="29"/>
      <c r="D130" s="30"/>
      <c r="E130" s="87">
        <f>SUBTOTAL(9,E126:E129)</f>
        <v>2663727</v>
      </c>
      <c r="F130" s="52">
        <f>SUBTOTAL(9,F126:F129)</f>
        <v>867</v>
      </c>
      <c r="G130" s="76">
        <f t="shared" si="2"/>
        <v>2664594</v>
      </c>
    </row>
    <row r="131" spans="1:7" x14ac:dyDescent="0.25">
      <c r="A131" s="230" t="s">
        <v>142</v>
      </c>
      <c r="B131" s="233" t="s">
        <v>143</v>
      </c>
      <c r="C131" s="233" t="s">
        <v>108</v>
      </c>
      <c r="D131" s="15" t="s">
        <v>81</v>
      </c>
      <c r="E131" s="43">
        <f>267752+222785</f>
        <v>490537</v>
      </c>
      <c r="F131" s="70"/>
      <c r="G131" s="71">
        <f t="shared" si="2"/>
        <v>490537</v>
      </c>
    </row>
    <row r="132" spans="1:7" x14ac:dyDescent="0.25">
      <c r="A132" s="231"/>
      <c r="B132" s="234"/>
      <c r="C132" s="234"/>
      <c r="D132" s="32" t="s">
        <v>84</v>
      </c>
      <c r="E132" s="53">
        <f>270+2000+25000</f>
        <v>27270</v>
      </c>
      <c r="F132" s="73"/>
      <c r="G132" s="71">
        <f t="shared" si="2"/>
        <v>27270</v>
      </c>
    </row>
    <row r="133" spans="1:7" x14ac:dyDescent="0.25">
      <c r="A133" s="231"/>
      <c r="B133" s="234"/>
      <c r="C133" s="234"/>
      <c r="D133" s="33" t="s">
        <v>109</v>
      </c>
      <c r="E133" s="54">
        <f>1005357+191351</f>
        <v>1196708</v>
      </c>
      <c r="F133" s="101">
        <v>1436</v>
      </c>
      <c r="G133" s="71">
        <f t="shared" si="2"/>
        <v>1198144</v>
      </c>
    </row>
    <row r="134" spans="1:7" x14ac:dyDescent="0.25">
      <c r="A134" s="231"/>
      <c r="B134" s="235"/>
      <c r="C134" s="235"/>
      <c r="D134" s="35" t="s">
        <v>110</v>
      </c>
      <c r="E134" s="56">
        <v>2850</v>
      </c>
      <c r="F134" s="73"/>
      <c r="G134" s="71">
        <f t="shared" si="2"/>
        <v>2850</v>
      </c>
    </row>
    <row r="135" spans="1:7" ht="24.75" thickBot="1" x14ac:dyDescent="0.3">
      <c r="A135" s="232"/>
      <c r="B135" s="28" t="s">
        <v>82</v>
      </c>
      <c r="C135" s="29"/>
      <c r="D135" s="30"/>
      <c r="E135" s="87">
        <f>SUBTOTAL(9,E131:E134)</f>
        <v>1717365</v>
      </c>
      <c r="F135" s="52">
        <f>SUBTOTAL(9,F131:F134)</f>
        <v>1436</v>
      </c>
      <c r="G135" s="76">
        <f t="shared" si="2"/>
        <v>1718801</v>
      </c>
    </row>
    <row r="136" spans="1:7" x14ac:dyDescent="0.25">
      <c r="A136" s="230" t="s">
        <v>144</v>
      </c>
      <c r="B136" s="233" t="s">
        <v>145</v>
      </c>
      <c r="C136" s="233" t="s">
        <v>108</v>
      </c>
      <c r="D136" s="15" t="s">
        <v>81</v>
      </c>
      <c r="E136" s="43">
        <f>414049</f>
        <v>414049</v>
      </c>
      <c r="F136" s="70"/>
      <c r="G136" s="71">
        <f t="shared" si="2"/>
        <v>414049</v>
      </c>
    </row>
    <row r="137" spans="1:7" x14ac:dyDescent="0.25">
      <c r="A137" s="231"/>
      <c r="B137" s="234"/>
      <c r="C137" s="234"/>
      <c r="D137" s="33" t="s">
        <v>84</v>
      </c>
      <c r="E137" s="54">
        <f>1520+25000</f>
        <v>26520</v>
      </c>
      <c r="F137" s="73"/>
      <c r="G137" s="71">
        <f t="shared" si="2"/>
        <v>26520</v>
      </c>
    </row>
    <row r="138" spans="1:7" x14ac:dyDescent="0.25">
      <c r="A138" s="231"/>
      <c r="B138" s="234"/>
      <c r="C138" s="234"/>
      <c r="D138" s="32" t="s">
        <v>109</v>
      </c>
      <c r="E138" s="53">
        <f>699757</f>
        <v>699757</v>
      </c>
      <c r="F138" s="101"/>
      <c r="G138" s="71">
        <f t="shared" si="2"/>
        <v>699757</v>
      </c>
    </row>
    <row r="139" spans="1:7" x14ac:dyDescent="0.25">
      <c r="A139" s="231"/>
      <c r="B139" s="235"/>
      <c r="C139" s="235"/>
      <c r="D139" s="34" t="s">
        <v>110</v>
      </c>
      <c r="E139" s="55">
        <v>2227</v>
      </c>
      <c r="F139" s="73"/>
      <c r="G139" s="71">
        <f t="shared" si="2"/>
        <v>2227</v>
      </c>
    </row>
    <row r="140" spans="1:7" ht="24.75" thickBot="1" x14ac:dyDescent="0.3">
      <c r="A140" s="232"/>
      <c r="B140" s="28" t="s">
        <v>82</v>
      </c>
      <c r="C140" s="29"/>
      <c r="D140" s="30"/>
      <c r="E140" s="87">
        <f>SUBTOTAL(9,E136:E139)</f>
        <v>1142553</v>
      </c>
      <c r="F140" s="52">
        <f>SUBTOTAL(9,F136:F139)</f>
        <v>0</v>
      </c>
      <c r="G140" s="76">
        <f t="shared" si="2"/>
        <v>1142553</v>
      </c>
    </row>
    <row r="141" spans="1:7" x14ac:dyDescent="0.25">
      <c r="A141" s="230" t="s">
        <v>146</v>
      </c>
      <c r="B141" s="233" t="s">
        <v>147</v>
      </c>
      <c r="C141" s="233" t="s">
        <v>108</v>
      </c>
      <c r="D141" s="15" t="s">
        <v>81</v>
      </c>
      <c r="E141" s="43">
        <f>413050</f>
        <v>413050</v>
      </c>
      <c r="F141" s="70"/>
      <c r="G141" s="71">
        <f t="shared" si="2"/>
        <v>413050</v>
      </c>
    </row>
    <row r="142" spans="1:7" x14ac:dyDescent="0.25">
      <c r="A142" s="231"/>
      <c r="B142" s="234"/>
      <c r="C142" s="234"/>
      <c r="D142" s="33" t="s">
        <v>84</v>
      </c>
      <c r="E142" s="54">
        <f>1460+23400</f>
        <v>24860</v>
      </c>
      <c r="F142" s="73"/>
      <c r="G142" s="71">
        <f t="shared" ref="G142:G204" si="3">E142+F142</f>
        <v>24860</v>
      </c>
    </row>
    <row r="143" spans="1:7" x14ac:dyDescent="0.25">
      <c r="A143" s="231"/>
      <c r="B143" s="234"/>
      <c r="C143" s="234"/>
      <c r="D143" s="32" t="s">
        <v>109</v>
      </c>
      <c r="E143" s="53">
        <f>779937</f>
        <v>779937</v>
      </c>
      <c r="F143" s="73"/>
      <c r="G143" s="71">
        <f t="shared" si="3"/>
        <v>779937</v>
      </c>
    </row>
    <row r="144" spans="1:7" x14ac:dyDescent="0.25">
      <c r="A144" s="231"/>
      <c r="B144" s="235"/>
      <c r="C144" s="235"/>
      <c r="D144" s="34" t="s">
        <v>110</v>
      </c>
      <c r="E144" s="55">
        <v>3652</v>
      </c>
      <c r="F144" s="73"/>
      <c r="G144" s="71">
        <f t="shared" si="3"/>
        <v>3652</v>
      </c>
    </row>
    <row r="145" spans="1:7" ht="24.75" thickBot="1" x14ac:dyDescent="0.3">
      <c r="A145" s="232"/>
      <c r="B145" s="28" t="s">
        <v>82</v>
      </c>
      <c r="C145" s="29"/>
      <c r="D145" s="30"/>
      <c r="E145" s="52">
        <f>SUBTOTAL(9,E141:E144)</f>
        <v>1221499</v>
      </c>
      <c r="F145" s="72"/>
      <c r="G145" s="76">
        <f t="shared" si="3"/>
        <v>1221499</v>
      </c>
    </row>
    <row r="146" spans="1:7" x14ac:dyDescent="0.25">
      <c r="A146" s="230" t="s">
        <v>148</v>
      </c>
      <c r="B146" s="233" t="s">
        <v>149</v>
      </c>
      <c r="C146" s="233" t="s">
        <v>108</v>
      </c>
      <c r="D146" s="15" t="s">
        <v>81</v>
      </c>
      <c r="E146" s="43">
        <f>330048</f>
        <v>330048</v>
      </c>
      <c r="F146" s="70"/>
      <c r="G146" s="71">
        <f t="shared" si="3"/>
        <v>330048</v>
      </c>
    </row>
    <row r="147" spans="1:7" x14ac:dyDescent="0.25">
      <c r="A147" s="231"/>
      <c r="B147" s="234"/>
      <c r="C147" s="234"/>
      <c r="D147" s="33" t="s">
        <v>84</v>
      </c>
      <c r="E147" s="54">
        <f>20800</f>
        <v>20800</v>
      </c>
      <c r="F147" s="73"/>
      <c r="G147" s="71">
        <f t="shared" si="3"/>
        <v>20800</v>
      </c>
    </row>
    <row r="148" spans="1:7" x14ac:dyDescent="0.25">
      <c r="A148" s="231"/>
      <c r="B148" s="234"/>
      <c r="C148" s="234"/>
      <c r="D148" s="32" t="s">
        <v>109</v>
      </c>
      <c r="E148" s="53">
        <f>644227</f>
        <v>644227</v>
      </c>
      <c r="F148" s="73"/>
      <c r="G148" s="71">
        <f t="shared" si="3"/>
        <v>644227</v>
      </c>
    </row>
    <row r="149" spans="1:7" x14ac:dyDescent="0.25">
      <c r="A149" s="231"/>
      <c r="B149" s="235"/>
      <c r="C149" s="235"/>
      <c r="D149" s="34" t="s">
        <v>110</v>
      </c>
      <c r="E149" s="55">
        <v>5314</v>
      </c>
      <c r="F149" s="73"/>
      <c r="G149" s="71">
        <f t="shared" si="3"/>
        <v>5314</v>
      </c>
    </row>
    <row r="150" spans="1:7" ht="24.75" thickBot="1" x14ac:dyDescent="0.3">
      <c r="A150" s="232"/>
      <c r="B150" s="28" t="s">
        <v>82</v>
      </c>
      <c r="C150" s="29"/>
      <c r="D150" s="30"/>
      <c r="E150" s="52">
        <f>SUBTOTAL(9,E146:E149)</f>
        <v>1000389</v>
      </c>
      <c r="F150" s="72"/>
      <c r="G150" s="76">
        <f t="shared" si="3"/>
        <v>1000389</v>
      </c>
    </row>
    <row r="151" spans="1:7" x14ac:dyDescent="0.25">
      <c r="A151" s="230" t="s">
        <v>150</v>
      </c>
      <c r="B151" s="233" t="s">
        <v>151</v>
      </c>
      <c r="C151" s="233" t="s">
        <v>108</v>
      </c>
      <c r="D151" s="15" t="s">
        <v>81</v>
      </c>
      <c r="E151" s="43">
        <f>234049</f>
        <v>234049</v>
      </c>
      <c r="F151" s="70"/>
      <c r="G151" s="71">
        <f t="shared" si="3"/>
        <v>234049</v>
      </c>
    </row>
    <row r="152" spans="1:7" x14ac:dyDescent="0.25">
      <c r="A152" s="231"/>
      <c r="B152" s="234"/>
      <c r="C152" s="234"/>
      <c r="D152" s="33" t="s">
        <v>84</v>
      </c>
      <c r="E152" s="54">
        <f>6040+25600</f>
        <v>31640</v>
      </c>
      <c r="F152" s="73"/>
      <c r="G152" s="71">
        <f t="shared" si="3"/>
        <v>31640</v>
      </c>
    </row>
    <row r="153" spans="1:7" x14ac:dyDescent="0.25">
      <c r="A153" s="231"/>
      <c r="B153" s="234"/>
      <c r="C153" s="234"/>
      <c r="D153" s="32" t="s">
        <v>109</v>
      </c>
      <c r="E153" s="53">
        <f>381179</f>
        <v>381179</v>
      </c>
      <c r="F153" s="73"/>
      <c r="G153" s="71">
        <f t="shared" si="3"/>
        <v>381179</v>
      </c>
    </row>
    <row r="154" spans="1:7" x14ac:dyDescent="0.25">
      <c r="A154" s="231"/>
      <c r="B154" s="235"/>
      <c r="C154" s="235"/>
      <c r="D154" s="34" t="s">
        <v>110</v>
      </c>
      <c r="E154" s="55">
        <v>1781</v>
      </c>
      <c r="F154" s="73"/>
      <c r="G154" s="71">
        <f t="shared" si="3"/>
        <v>1781</v>
      </c>
    </row>
    <row r="155" spans="1:7" ht="24.75" thickBot="1" x14ac:dyDescent="0.3">
      <c r="A155" s="232"/>
      <c r="B155" s="28" t="s">
        <v>82</v>
      </c>
      <c r="C155" s="29"/>
      <c r="D155" s="30"/>
      <c r="E155" s="52">
        <f>SUBTOTAL(9,E151:E154)</f>
        <v>648649</v>
      </c>
      <c r="F155" s="72"/>
      <c r="G155" s="76">
        <f t="shared" si="3"/>
        <v>648649</v>
      </c>
    </row>
    <row r="156" spans="1:7" x14ac:dyDescent="0.25">
      <c r="A156" s="230" t="s">
        <v>152</v>
      </c>
      <c r="B156" s="233" t="s">
        <v>153</v>
      </c>
      <c r="C156" s="233" t="s">
        <v>108</v>
      </c>
      <c r="D156" s="15" t="s">
        <v>81</v>
      </c>
      <c r="E156" s="43">
        <f>732044</f>
        <v>732044</v>
      </c>
      <c r="F156" s="70"/>
      <c r="G156" s="71">
        <f t="shared" si="3"/>
        <v>732044</v>
      </c>
    </row>
    <row r="157" spans="1:7" x14ac:dyDescent="0.25">
      <c r="A157" s="231"/>
      <c r="B157" s="234"/>
      <c r="C157" s="234"/>
      <c r="D157" s="33" t="s">
        <v>84</v>
      </c>
      <c r="E157" s="54">
        <f>11320+90000</f>
        <v>101320</v>
      </c>
      <c r="F157" s="73"/>
      <c r="G157" s="71">
        <f t="shared" si="3"/>
        <v>101320</v>
      </c>
    </row>
    <row r="158" spans="1:7" x14ac:dyDescent="0.25">
      <c r="A158" s="231"/>
      <c r="B158" s="234"/>
      <c r="C158" s="234"/>
      <c r="D158" s="32" t="s">
        <v>109</v>
      </c>
      <c r="E158" s="53">
        <f>1397703</f>
        <v>1397703</v>
      </c>
      <c r="F158" s="73">
        <v>377</v>
      </c>
      <c r="G158" s="71">
        <f t="shared" si="3"/>
        <v>1398080</v>
      </c>
    </row>
    <row r="159" spans="1:7" x14ac:dyDescent="0.25">
      <c r="A159" s="231"/>
      <c r="B159" s="235"/>
      <c r="C159" s="235"/>
      <c r="D159" s="34" t="s">
        <v>110</v>
      </c>
      <c r="E159" s="55">
        <v>40708</v>
      </c>
      <c r="F159" s="101"/>
      <c r="G159" s="71">
        <f t="shared" si="3"/>
        <v>40708</v>
      </c>
    </row>
    <row r="160" spans="1:7" ht="24.75" thickBot="1" x14ac:dyDescent="0.3">
      <c r="A160" s="232"/>
      <c r="B160" s="28" t="s">
        <v>82</v>
      </c>
      <c r="C160" s="29"/>
      <c r="D160" s="30"/>
      <c r="E160" s="87">
        <f>E156+E157+E158+E159</f>
        <v>2271775</v>
      </c>
      <c r="F160" s="52">
        <f>F156+F157+F158+F159</f>
        <v>377</v>
      </c>
      <c r="G160" s="76">
        <f t="shared" si="3"/>
        <v>2272152</v>
      </c>
    </row>
    <row r="161" spans="1:7" x14ac:dyDescent="0.25">
      <c r="A161" s="230" t="s">
        <v>154</v>
      </c>
      <c r="B161" s="233" t="s">
        <v>155</v>
      </c>
      <c r="C161" s="233" t="s">
        <v>108</v>
      </c>
      <c r="D161" s="15" t="s">
        <v>81</v>
      </c>
      <c r="E161" s="43">
        <f>518199</f>
        <v>518199</v>
      </c>
      <c r="F161" s="70"/>
      <c r="G161" s="71">
        <f t="shared" si="3"/>
        <v>518199</v>
      </c>
    </row>
    <row r="162" spans="1:7" x14ac:dyDescent="0.25">
      <c r="A162" s="231"/>
      <c r="B162" s="234"/>
      <c r="C162" s="234"/>
      <c r="D162" s="32" t="s">
        <v>84</v>
      </c>
      <c r="E162" s="53">
        <f>960+101500</f>
        <v>102460</v>
      </c>
      <c r="F162" s="73"/>
      <c r="G162" s="71">
        <f t="shared" si="3"/>
        <v>102460</v>
      </c>
    </row>
    <row r="163" spans="1:7" x14ac:dyDescent="0.25">
      <c r="A163" s="231"/>
      <c r="B163" s="234"/>
      <c r="C163" s="234"/>
      <c r="D163" s="33" t="s">
        <v>109</v>
      </c>
      <c r="E163" s="54">
        <f>523981</f>
        <v>523981</v>
      </c>
      <c r="F163" s="73">
        <v>401</v>
      </c>
      <c r="G163" s="71">
        <f t="shared" si="3"/>
        <v>524382</v>
      </c>
    </row>
    <row r="164" spans="1:7" x14ac:dyDescent="0.25">
      <c r="A164" s="231"/>
      <c r="B164" s="235"/>
      <c r="C164" s="235"/>
      <c r="D164" s="35" t="s">
        <v>110</v>
      </c>
      <c r="E164" s="56">
        <v>13153</v>
      </c>
      <c r="F164" s="73"/>
      <c r="G164" s="71">
        <f t="shared" si="3"/>
        <v>13153</v>
      </c>
    </row>
    <row r="165" spans="1:7" ht="24.75" thickBot="1" x14ac:dyDescent="0.3">
      <c r="A165" s="232"/>
      <c r="B165" s="28" t="s">
        <v>82</v>
      </c>
      <c r="C165" s="29"/>
      <c r="D165" s="30"/>
      <c r="E165" s="87">
        <f>SUBTOTAL(9,E161:E164)</f>
        <v>1157793</v>
      </c>
      <c r="F165" s="52">
        <f>SUBTOTAL(9,F161:F164)</f>
        <v>401</v>
      </c>
      <c r="G165" s="76">
        <f t="shared" si="3"/>
        <v>1158194</v>
      </c>
    </row>
    <row r="166" spans="1:7" x14ac:dyDescent="0.25">
      <c r="A166" s="230" t="s">
        <v>156</v>
      </c>
      <c r="B166" s="233" t="s">
        <v>157</v>
      </c>
      <c r="C166" s="233" t="s">
        <v>108</v>
      </c>
      <c r="D166" s="15" t="s">
        <v>81</v>
      </c>
      <c r="E166" s="43">
        <f>579328</f>
        <v>579328</v>
      </c>
      <c r="F166" s="70"/>
      <c r="G166" s="71">
        <f t="shared" si="3"/>
        <v>579328</v>
      </c>
    </row>
    <row r="167" spans="1:7" x14ac:dyDescent="0.25">
      <c r="A167" s="231"/>
      <c r="B167" s="234"/>
      <c r="C167" s="234"/>
      <c r="D167" s="32" t="s">
        <v>84</v>
      </c>
      <c r="E167" s="53">
        <f>7680+116100</f>
        <v>123780</v>
      </c>
      <c r="F167" s="73"/>
      <c r="G167" s="71">
        <f t="shared" si="3"/>
        <v>123780</v>
      </c>
    </row>
    <row r="168" spans="1:7" x14ac:dyDescent="0.25">
      <c r="A168" s="231"/>
      <c r="B168" s="234"/>
      <c r="C168" s="234"/>
      <c r="D168" s="32" t="s">
        <v>109</v>
      </c>
      <c r="E168" s="53">
        <f>744195</f>
        <v>744195</v>
      </c>
      <c r="F168" s="73">
        <v>474</v>
      </c>
      <c r="G168" s="71">
        <f t="shared" si="3"/>
        <v>744669</v>
      </c>
    </row>
    <row r="169" spans="1:7" x14ac:dyDescent="0.25">
      <c r="A169" s="231"/>
      <c r="B169" s="235"/>
      <c r="C169" s="235"/>
      <c r="D169" s="34" t="s">
        <v>110</v>
      </c>
      <c r="E169" s="55">
        <v>18111</v>
      </c>
      <c r="F169" s="73"/>
      <c r="G169" s="71">
        <f t="shared" si="3"/>
        <v>18111</v>
      </c>
    </row>
    <row r="170" spans="1:7" ht="24.75" thickBot="1" x14ac:dyDescent="0.3">
      <c r="A170" s="232"/>
      <c r="B170" s="28" t="s">
        <v>82</v>
      </c>
      <c r="C170" s="29"/>
      <c r="D170" s="30"/>
      <c r="E170" s="87">
        <f>SUBTOTAL(9,E166:E169)</f>
        <v>1465414</v>
      </c>
      <c r="F170" s="52">
        <f>SUBTOTAL(9,F166:F169)</f>
        <v>474</v>
      </c>
      <c r="G170" s="76">
        <f t="shared" si="3"/>
        <v>1465888</v>
      </c>
    </row>
    <row r="171" spans="1:7" x14ac:dyDescent="0.25">
      <c r="A171" s="230" t="s">
        <v>158</v>
      </c>
      <c r="B171" s="233" t="s">
        <v>159</v>
      </c>
      <c r="C171" s="233" t="s">
        <v>108</v>
      </c>
      <c r="D171" s="15" t="s">
        <v>81</v>
      </c>
      <c r="E171" s="43">
        <f>574289</f>
        <v>574289</v>
      </c>
      <c r="F171" s="70"/>
      <c r="G171" s="71">
        <f t="shared" si="3"/>
        <v>574289</v>
      </c>
    </row>
    <row r="172" spans="1:7" x14ac:dyDescent="0.25">
      <c r="A172" s="231"/>
      <c r="B172" s="234"/>
      <c r="C172" s="234"/>
      <c r="D172" s="32" t="s">
        <v>84</v>
      </c>
      <c r="E172" s="54">
        <f>10140+112900</f>
        <v>123040</v>
      </c>
      <c r="F172" s="73"/>
      <c r="G172" s="71">
        <f t="shared" si="3"/>
        <v>123040</v>
      </c>
    </row>
    <row r="173" spans="1:7" x14ac:dyDescent="0.25">
      <c r="A173" s="231"/>
      <c r="B173" s="234"/>
      <c r="C173" s="234"/>
      <c r="D173" s="32" t="s">
        <v>109</v>
      </c>
      <c r="E173" s="53">
        <f>716429</f>
        <v>716429</v>
      </c>
      <c r="F173" s="73">
        <v>696</v>
      </c>
      <c r="G173" s="71">
        <f t="shared" si="3"/>
        <v>717125</v>
      </c>
    </row>
    <row r="174" spans="1:7" x14ac:dyDescent="0.25">
      <c r="A174" s="231"/>
      <c r="B174" s="235"/>
      <c r="C174" s="235"/>
      <c r="D174" s="34" t="s">
        <v>110</v>
      </c>
      <c r="E174" s="55">
        <v>15172</v>
      </c>
      <c r="F174" s="73"/>
      <c r="G174" s="71">
        <f t="shared" si="3"/>
        <v>15172</v>
      </c>
    </row>
    <row r="175" spans="1:7" ht="24.75" thickBot="1" x14ac:dyDescent="0.3">
      <c r="A175" s="232"/>
      <c r="B175" s="28" t="s">
        <v>82</v>
      </c>
      <c r="C175" s="29"/>
      <c r="D175" s="30"/>
      <c r="E175" s="87">
        <f>SUBTOTAL(9,E171:E174)</f>
        <v>1428930</v>
      </c>
      <c r="F175" s="52">
        <f>SUBTOTAL(9,F171:F174)</f>
        <v>696</v>
      </c>
      <c r="G175" s="76">
        <f t="shared" si="3"/>
        <v>1429626</v>
      </c>
    </row>
    <row r="176" spans="1:7" x14ac:dyDescent="0.25">
      <c r="A176" s="230" t="s">
        <v>160</v>
      </c>
      <c r="B176" s="233" t="s">
        <v>161</v>
      </c>
      <c r="C176" s="233" t="s">
        <v>108</v>
      </c>
      <c r="D176" s="15" t="s">
        <v>81</v>
      </c>
      <c r="E176" s="43">
        <f>390432</f>
        <v>390432</v>
      </c>
      <c r="F176" s="70"/>
      <c r="G176" s="71">
        <f t="shared" si="3"/>
        <v>390432</v>
      </c>
    </row>
    <row r="177" spans="1:7" x14ac:dyDescent="0.25">
      <c r="A177" s="231"/>
      <c r="B177" s="234"/>
      <c r="C177" s="234"/>
      <c r="D177" s="32" t="s">
        <v>84</v>
      </c>
      <c r="E177" s="54">
        <f>68000</f>
        <v>68000</v>
      </c>
      <c r="F177" s="73"/>
      <c r="G177" s="71">
        <f t="shared" si="3"/>
        <v>68000</v>
      </c>
    </row>
    <row r="178" spans="1:7" x14ac:dyDescent="0.25">
      <c r="A178" s="231"/>
      <c r="B178" s="234"/>
      <c r="C178" s="234"/>
      <c r="D178" s="32" t="s">
        <v>109</v>
      </c>
      <c r="E178" s="53">
        <f>615734</f>
        <v>615734</v>
      </c>
      <c r="F178" s="73">
        <v>658</v>
      </c>
      <c r="G178" s="71">
        <f t="shared" si="3"/>
        <v>616392</v>
      </c>
    </row>
    <row r="179" spans="1:7" x14ac:dyDescent="0.25">
      <c r="A179" s="231"/>
      <c r="B179" s="235"/>
      <c r="C179" s="235"/>
      <c r="D179" s="34" t="s">
        <v>110</v>
      </c>
      <c r="E179" s="55">
        <v>9352</v>
      </c>
      <c r="F179" s="73"/>
      <c r="G179" s="71">
        <f t="shared" si="3"/>
        <v>9352</v>
      </c>
    </row>
    <row r="180" spans="1:7" ht="24.75" thickBot="1" x14ac:dyDescent="0.3">
      <c r="A180" s="232"/>
      <c r="B180" s="28" t="s">
        <v>82</v>
      </c>
      <c r="C180" s="29"/>
      <c r="D180" s="30"/>
      <c r="E180" s="87">
        <f>SUBTOTAL(9,E176:E179)</f>
        <v>1083518</v>
      </c>
      <c r="F180" s="52">
        <f>SUBTOTAL(9,F176:F179)</f>
        <v>658</v>
      </c>
      <c r="G180" s="76">
        <f t="shared" si="3"/>
        <v>1084176</v>
      </c>
    </row>
    <row r="181" spans="1:7" x14ac:dyDescent="0.25">
      <c r="A181" s="230" t="s">
        <v>162</v>
      </c>
      <c r="B181" s="233" t="s">
        <v>163</v>
      </c>
      <c r="C181" s="233" t="s">
        <v>108</v>
      </c>
      <c r="D181" s="15" t="s">
        <v>81</v>
      </c>
      <c r="E181" s="43">
        <f>558361</f>
        <v>558361</v>
      </c>
      <c r="F181" s="70"/>
      <c r="G181" s="71">
        <f t="shared" si="3"/>
        <v>558361</v>
      </c>
    </row>
    <row r="182" spans="1:7" x14ac:dyDescent="0.25">
      <c r="A182" s="231"/>
      <c r="B182" s="234"/>
      <c r="C182" s="234"/>
      <c r="D182" s="32" t="s">
        <v>84</v>
      </c>
      <c r="E182" s="53">
        <f>4050+34200</f>
        <v>38250</v>
      </c>
      <c r="F182" s="73"/>
      <c r="G182" s="71">
        <f t="shared" si="3"/>
        <v>38250</v>
      </c>
    </row>
    <row r="183" spans="1:7" x14ac:dyDescent="0.25">
      <c r="A183" s="231"/>
      <c r="B183" s="234"/>
      <c r="C183" s="234"/>
      <c r="D183" s="32" t="s">
        <v>109</v>
      </c>
      <c r="E183" s="54">
        <f>237321</f>
        <v>237321</v>
      </c>
      <c r="F183" s="73">
        <v>260</v>
      </c>
      <c r="G183" s="71">
        <f t="shared" si="3"/>
        <v>237581</v>
      </c>
    </row>
    <row r="184" spans="1:7" x14ac:dyDescent="0.25">
      <c r="A184" s="231"/>
      <c r="B184" s="235"/>
      <c r="C184" s="235"/>
      <c r="D184" s="34" t="s">
        <v>110</v>
      </c>
      <c r="E184" s="56">
        <v>123679</v>
      </c>
      <c r="F184" s="101"/>
      <c r="G184" s="71">
        <f t="shared" si="3"/>
        <v>123679</v>
      </c>
    </row>
    <row r="185" spans="1:7" ht="24.75" thickBot="1" x14ac:dyDescent="0.3">
      <c r="A185" s="232"/>
      <c r="B185" s="28" t="s">
        <v>82</v>
      </c>
      <c r="C185" s="29"/>
      <c r="D185" s="30"/>
      <c r="E185" s="87">
        <f>SUBTOTAL(9,E181:E184)</f>
        <v>957611</v>
      </c>
      <c r="F185" s="52">
        <f>SUBTOTAL(9,F181:F184)</f>
        <v>260</v>
      </c>
      <c r="G185" s="76">
        <f t="shared" si="3"/>
        <v>957871</v>
      </c>
    </row>
    <row r="186" spans="1:7" x14ac:dyDescent="0.25">
      <c r="A186" s="230" t="s">
        <v>164</v>
      </c>
      <c r="B186" s="233" t="s">
        <v>165</v>
      </c>
      <c r="C186" s="233" t="s">
        <v>108</v>
      </c>
      <c r="D186" s="15" t="s">
        <v>81</v>
      </c>
      <c r="E186" s="43">
        <f>683127+517632</f>
        <v>1200759</v>
      </c>
      <c r="F186" s="70"/>
      <c r="G186" s="71">
        <f t="shared" si="3"/>
        <v>1200759</v>
      </c>
    </row>
    <row r="187" spans="1:7" x14ac:dyDescent="0.25">
      <c r="A187" s="231"/>
      <c r="B187" s="234"/>
      <c r="C187" s="234"/>
      <c r="D187" s="32" t="s">
        <v>84</v>
      </c>
      <c r="E187" s="53">
        <f>82200+18600+342000</f>
        <v>442800</v>
      </c>
      <c r="F187" s="101">
        <v>10300</v>
      </c>
      <c r="G187" s="71">
        <f t="shared" si="3"/>
        <v>453100</v>
      </c>
    </row>
    <row r="188" spans="1:7" x14ac:dyDescent="0.25">
      <c r="A188" s="231"/>
      <c r="B188" s="234"/>
      <c r="C188" s="234"/>
      <c r="D188" s="32" t="s">
        <v>109</v>
      </c>
      <c r="E188" s="54">
        <f>59304</f>
        <v>59304</v>
      </c>
      <c r="F188" s="73"/>
      <c r="G188" s="71">
        <f t="shared" si="3"/>
        <v>59304</v>
      </c>
    </row>
    <row r="189" spans="1:7" x14ac:dyDescent="0.25">
      <c r="A189" s="231"/>
      <c r="B189" s="235"/>
      <c r="C189" s="235"/>
      <c r="D189" s="34" t="s">
        <v>110</v>
      </c>
      <c r="E189" s="56">
        <v>46731</v>
      </c>
      <c r="F189" s="73"/>
      <c r="G189" s="71">
        <f t="shared" si="3"/>
        <v>46731</v>
      </c>
    </row>
    <row r="190" spans="1:7" ht="24.75" thickBot="1" x14ac:dyDescent="0.3">
      <c r="A190" s="232"/>
      <c r="B190" s="28" t="s">
        <v>82</v>
      </c>
      <c r="C190" s="29"/>
      <c r="D190" s="30"/>
      <c r="E190" s="87">
        <f>SUBTOTAL(9,E186:E189)</f>
        <v>1749594</v>
      </c>
      <c r="F190" s="52">
        <f>SUBTOTAL(9,F186:F189)</f>
        <v>10300</v>
      </c>
      <c r="G190" s="76">
        <f t="shared" si="3"/>
        <v>1759894</v>
      </c>
    </row>
    <row r="191" spans="1:7" x14ac:dyDescent="0.25">
      <c r="A191" s="230" t="s">
        <v>166</v>
      </c>
      <c r="B191" s="233" t="s">
        <v>167</v>
      </c>
      <c r="C191" s="233" t="s">
        <v>108</v>
      </c>
      <c r="D191" s="15" t="s">
        <v>81</v>
      </c>
      <c r="E191" s="43">
        <f>1169565</f>
        <v>1169565</v>
      </c>
      <c r="F191" s="70"/>
      <c r="G191" s="71">
        <f t="shared" si="3"/>
        <v>1169565</v>
      </c>
    </row>
    <row r="192" spans="1:7" x14ac:dyDescent="0.25">
      <c r="A192" s="231"/>
      <c r="B192" s="234"/>
      <c r="C192" s="234"/>
      <c r="D192" s="32" t="s">
        <v>84</v>
      </c>
      <c r="E192" s="53">
        <f>29590+104000</f>
        <v>133590</v>
      </c>
      <c r="F192" s="73"/>
      <c r="G192" s="71">
        <f t="shared" si="3"/>
        <v>133590</v>
      </c>
    </row>
    <row r="193" spans="1:7" x14ac:dyDescent="0.25">
      <c r="A193" s="231"/>
      <c r="B193" s="234"/>
      <c r="C193" s="234"/>
      <c r="D193" s="32" t="s">
        <v>109</v>
      </c>
      <c r="E193" s="53">
        <f>40868</f>
        <v>40868</v>
      </c>
      <c r="F193" s="73"/>
      <c r="G193" s="71">
        <f t="shared" si="3"/>
        <v>40868</v>
      </c>
    </row>
    <row r="194" spans="1:7" x14ac:dyDescent="0.25">
      <c r="A194" s="231"/>
      <c r="B194" s="235"/>
      <c r="C194" s="235"/>
      <c r="D194" s="34" t="s">
        <v>110</v>
      </c>
      <c r="E194" s="55">
        <v>114395</v>
      </c>
      <c r="F194" s="73"/>
      <c r="G194" s="71">
        <f t="shared" si="3"/>
        <v>114395</v>
      </c>
    </row>
    <row r="195" spans="1:7" ht="24.75" thickBot="1" x14ac:dyDescent="0.3">
      <c r="A195" s="232"/>
      <c r="B195" s="28" t="s">
        <v>82</v>
      </c>
      <c r="C195" s="29"/>
      <c r="D195" s="30"/>
      <c r="E195" s="52">
        <f>SUBTOTAL(9,E191:E194)</f>
        <v>1458418</v>
      </c>
      <c r="F195" s="72"/>
      <c r="G195" s="76">
        <f t="shared" si="3"/>
        <v>1458418</v>
      </c>
    </row>
    <row r="196" spans="1:7" x14ac:dyDescent="0.25">
      <c r="A196" s="230" t="s">
        <v>168</v>
      </c>
      <c r="B196" s="233" t="s">
        <v>169</v>
      </c>
      <c r="C196" s="233" t="s">
        <v>108</v>
      </c>
      <c r="D196" s="15" t="s">
        <v>81</v>
      </c>
      <c r="E196" s="43">
        <f>393392</f>
        <v>393392</v>
      </c>
      <c r="F196" s="70"/>
      <c r="G196" s="71">
        <f t="shared" si="3"/>
        <v>393392</v>
      </c>
    </row>
    <row r="197" spans="1:7" x14ac:dyDescent="0.25">
      <c r="A197" s="231"/>
      <c r="B197" s="234"/>
      <c r="C197" s="234"/>
      <c r="D197" s="32" t="s">
        <v>84</v>
      </c>
      <c r="E197" s="53">
        <f>18270+21000</f>
        <v>39270</v>
      </c>
      <c r="F197" s="73"/>
      <c r="G197" s="71">
        <f t="shared" si="3"/>
        <v>39270</v>
      </c>
    </row>
    <row r="198" spans="1:7" x14ac:dyDescent="0.25">
      <c r="A198" s="231"/>
      <c r="B198" s="234"/>
      <c r="C198" s="234"/>
      <c r="D198" s="32" t="s">
        <v>109</v>
      </c>
      <c r="E198" s="54">
        <f>17899</f>
        <v>17899</v>
      </c>
      <c r="F198" s="73"/>
      <c r="G198" s="71">
        <f t="shared" si="3"/>
        <v>17899</v>
      </c>
    </row>
    <row r="199" spans="1:7" x14ac:dyDescent="0.25">
      <c r="A199" s="231"/>
      <c r="B199" s="235"/>
      <c r="C199" s="235"/>
      <c r="D199" s="34" t="s">
        <v>110</v>
      </c>
      <c r="E199" s="56">
        <v>33253</v>
      </c>
      <c r="F199" s="73"/>
      <c r="G199" s="71">
        <f t="shared" si="3"/>
        <v>33253</v>
      </c>
    </row>
    <row r="200" spans="1:7" ht="24.75" thickBot="1" x14ac:dyDescent="0.3">
      <c r="A200" s="232"/>
      <c r="B200" s="28" t="s">
        <v>82</v>
      </c>
      <c r="C200" s="29"/>
      <c r="D200" s="30"/>
      <c r="E200" s="52">
        <f>SUBTOTAL(9,E196:E199)</f>
        <v>483814</v>
      </c>
      <c r="F200" s="72"/>
      <c r="G200" s="76">
        <f t="shared" si="3"/>
        <v>483814</v>
      </c>
    </row>
    <row r="201" spans="1:7" x14ac:dyDescent="0.25">
      <c r="A201" s="230" t="s">
        <v>170</v>
      </c>
      <c r="B201" s="233" t="s">
        <v>171</v>
      </c>
      <c r="C201" s="233" t="s">
        <v>113</v>
      </c>
      <c r="D201" s="15" t="s">
        <v>81</v>
      </c>
      <c r="E201" s="43">
        <v>1157087</v>
      </c>
      <c r="F201" s="100"/>
      <c r="G201" s="71">
        <f t="shared" si="3"/>
        <v>1157087</v>
      </c>
    </row>
    <row r="202" spans="1:7" x14ac:dyDescent="0.25">
      <c r="A202" s="231"/>
      <c r="B202" s="234"/>
      <c r="C202" s="234"/>
      <c r="D202" s="32" t="s">
        <v>84</v>
      </c>
      <c r="E202" s="53">
        <f>63400</f>
        <v>63400</v>
      </c>
      <c r="F202" s="73"/>
      <c r="G202" s="71">
        <f t="shared" si="3"/>
        <v>63400</v>
      </c>
    </row>
    <row r="203" spans="1:7" x14ac:dyDescent="0.25">
      <c r="A203" s="231"/>
      <c r="B203" s="235"/>
      <c r="C203" s="235"/>
      <c r="D203" s="32" t="s">
        <v>110</v>
      </c>
      <c r="E203" s="53">
        <f>15600+14348</f>
        <v>29948</v>
      </c>
      <c r="F203" s="73"/>
      <c r="G203" s="71">
        <f t="shared" si="3"/>
        <v>29948</v>
      </c>
    </row>
    <row r="204" spans="1:7" ht="24.75" thickBot="1" x14ac:dyDescent="0.3">
      <c r="A204" s="232"/>
      <c r="B204" s="28" t="s">
        <v>82</v>
      </c>
      <c r="C204" s="29"/>
      <c r="D204" s="30"/>
      <c r="E204" s="87">
        <f>SUBTOTAL(9,E201:E203)</f>
        <v>1250435</v>
      </c>
      <c r="F204" s="52">
        <f>SUBTOTAL(9,F201:F203)</f>
        <v>0</v>
      </c>
      <c r="G204" s="76">
        <f t="shared" si="3"/>
        <v>1250435</v>
      </c>
    </row>
    <row r="205" spans="1:7" ht="15" customHeight="1" x14ac:dyDescent="0.25">
      <c r="A205" s="230" t="s">
        <v>172</v>
      </c>
      <c r="B205" s="233" t="s">
        <v>173</v>
      </c>
      <c r="C205" s="233" t="s">
        <v>113</v>
      </c>
      <c r="D205" s="15" t="s">
        <v>81</v>
      </c>
      <c r="E205" s="43">
        <f>2130030</f>
        <v>2130030</v>
      </c>
      <c r="F205" s="70"/>
      <c r="G205" s="71">
        <f t="shared" ref="G205:G212" si="4">E205+F205</f>
        <v>2130030</v>
      </c>
    </row>
    <row r="206" spans="1:7" x14ac:dyDescent="0.25">
      <c r="A206" s="231"/>
      <c r="B206" s="234"/>
      <c r="C206" s="234"/>
      <c r="D206" s="32" t="s">
        <v>84</v>
      </c>
      <c r="E206" s="53">
        <f>36970+126000</f>
        <v>162970</v>
      </c>
      <c r="F206" s="101">
        <v>10000</v>
      </c>
      <c r="G206" s="71">
        <f t="shared" si="4"/>
        <v>172970</v>
      </c>
    </row>
    <row r="207" spans="1:7" x14ac:dyDescent="0.25">
      <c r="A207" s="231"/>
      <c r="B207" s="234"/>
      <c r="C207" s="234"/>
      <c r="D207" s="32" t="s">
        <v>85</v>
      </c>
      <c r="E207" s="53">
        <f>480700</f>
        <v>480700</v>
      </c>
      <c r="F207" s="73"/>
      <c r="G207" s="71">
        <f t="shared" si="4"/>
        <v>480700</v>
      </c>
    </row>
    <row r="208" spans="1:7" x14ac:dyDescent="0.25">
      <c r="A208" s="231"/>
      <c r="B208" s="234"/>
      <c r="C208" s="234"/>
      <c r="D208" s="32" t="s">
        <v>110</v>
      </c>
      <c r="E208" s="53">
        <f>59002+41454</f>
        <v>100456</v>
      </c>
      <c r="F208" s="73"/>
      <c r="G208" s="71">
        <f t="shared" si="4"/>
        <v>100456</v>
      </c>
    </row>
    <row r="209" spans="1:7" x14ac:dyDescent="0.25">
      <c r="A209" s="231"/>
      <c r="B209" s="234"/>
      <c r="C209" s="234"/>
      <c r="D209" s="34" t="s">
        <v>86</v>
      </c>
      <c r="E209" s="55"/>
      <c r="F209" s="75">
        <v>14866</v>
      </c>
      <c r="G209" s="71">
        <f t="shared" si="4"/>
        <v>14866</v>
      </c>
    </row>
    <row r="210" spans="1:7" x14ac:dyDescent="0.25">
      <c r="A210" s="231"/>
      <c r="B210" s="235"/>
      <c r="C210" s="235"/>
      <c r="D210" s="34" t="s">
        <v>92</v>
      </c>
      <c r="E210" s="55"/>
      <c r="F210" s="75">
        <v>3717</v>
      </c>
      <c r="G210" s="71">
        <f t="shared" si="4"/>
        <v>3717</v>
      </c>
    </row>
    <row r="211" spans="1:7" ht="24.75" thickBot="1" x14ac:dyDescent="0.3">
      <c r="A211" s="232"/>
      <c r="B211" s="28" t="s">
        <v>82</v>
      </c>
      <c r="C211" s="29"/>
      <c r="D211" s="30"/>
      <c r="E211" s="87">
        <f>SUBTOTAL(9,E205:E210)</f>
        <v>2874156</v>
      </c>
      <c r="F211" s="52">
        <f>SUBTOTAL(9,F205:F210)</f>
        <v>28583</v>
      </c>
      <c r="G211" s="76">
        <f t="shared" si="4"/>
        <v>2902739</v>
      </c>
    </row>
    <row r="212" spans="1:7" ht="15.75" thickBot="1" x14ac:dyDescent="0.3">
      <c r="A212" s="236" t="s">
        <v>174</v>
      </c>
      <c r="B212" s="237"/>
      <c r="C212" s="238"/>
      <c r="D212" s="36"/>
      <c r="E212" s="57">
        <f>E12+E65+E68+E70+E72+E74+E76+E78+E80+E82+E84+E86+E89+E92+E95+E99+E103+E106+E111+E115+E120+E125+E130+E135+E140+E145+E150+E155+E160+E165+E170+E175+E180+E185+E190+E195+E200+E204+E211</f>
        <v>88561256.599999994</v>
      </c>
      <c r="F212" s="84">
        <f>F12+F65+F68+F70+F72+F74+F76+F78+F80+F82+F84+F86+F89+F92+F95+F99+F103+F106+F111+F115+F120+F125+F130+F135+F140+F145+F150+F155+F160+F165+F170+F175+F180+F185+F190+F195+F200+F204+F211</f>
        <v>-4917</v>
      </c>
      <c r="G212" s="78">
        <f t="shared" si="4"/>
        <v>88556339.599999994</v>
      </c>
    </row>
    <row r="213" spans="1:7" ht="15.75" thickBot="1" x14ac:dyDescent="0.3">
      <c r="A213" s="8"/>
      <c r="B213" s="8"/>
      <c r="C213" s="8"/>
      <c r="D213" s="37"/>
      <c r="E213" s="8"/>
      <c r="F213" s="74"/>
      <c r="G213" s="74"/>
    </row>
    <row r="214" spans="1:7" ht="36.75" thickBot="1" x14ac:dyDescent="0.3">
      <c r="A214" s="8"/>
      <c r="B214" s="38" t="s">
        <v>175</v>
      </c>
      <c r="C214" s="214" t="s">
        <v>176</v>
      </c>
      <c r="D214" s="214"/>
      <c r="E214" s="58" t="s">
        <v>177</v>
      </c>
      <c r="F214" s="67" t="s">
        <v>209</v>
      </c>
      <c r="G214" s="68" t="s">
        <v>210</v>
      </c>
    </row>
    <row r="215" spans="1:7" x14ac:dyDescent="0.25">
      <c r="A215" s="8"/>
      <c r="B215" s="39" t="s">
        <v>178</v>
      </c>
      <c r="C215" s="239" t="s">
        <v>179</v>
      </c>
      <c r="D215" s="239"/>
      <c r="E215" s="59">
        <f>E12+E17+E68</f>
        <v>8360862</v>
      </c>
      <c r="F215" s="70"/>
      <c r="G215" s="71">
        <f>E215+F215</f>
        <v>8360862</v>
      </c>
    </row>
    <row r="216" spans="1:7" x14ac:dyDescent="0.25">
      <c r="A216" s="8"/>
      <c r="B216" s="40" t="s">
        <v>180</v>
      </c>
      <c r="C216" s="240" t="s">
        <v>181</v>
      </c>
      <c r="D216" s="240"/>
      <c r="E216" s="48">
        <f>E21+E70+E72+E74+E76+E78+E80+E82+E84+E86</f>
        <v>4677868</v>
      </c>
      <c r="F216" s="48">
        <f>F21+F70+F72+F74+F76+F78+F80+F82+F84+F86</f>
        <v>0</v>
      </c>
      <c r="G216" s="82">
        <f t="shared" ref="G216:G226" si="5">E216+F216</f>
        <v>4677868</v>
      </c>
    </row>
    <row r="217" spans="1:7" x14ac:dyDescent="0.25">
      <c r="A217" s="8"/>
      <c r="B217" s="40" t="s">
        <v>182</v>
      </c>
      <c r="C217" s="240" t="s">
        <v>183</v>
      </c>
      <c r="D217" s="240"/>
      <c r="E217" s="48">
        <f>E26</f>
        <v>792482</v>
      </c>
      <c r="F217" s="48"/>
      <c r="G217" s="82">
        <f t="shared" si="5"/>
        <v>792482</v>
      </c>
    </row>
    <row r="218" spans="1:7" ht="29.25" customHeight="1" x14ac:dyDescent="0.25">
      <c r="A218" s="8"/>
      <c r="B218" s="40" t="s">
        <v>184</v>
      </c>
      <c r="C218" s="240" t="s">
        <v>185</v>
      </c>
      <c r="D218" s="240"/>
      <c r="E218" s="48">
        <f>E34</f>
        <v>9922156</v>
      </c>
      <c r="F218" s="48">
        <f>F34</f>
        <v>35000</v>
      </c>
      <c r="G218" s="82">
        <f t="shared" si="5"/>
        <v>9957156</v>
      </c>
    </row>
    <row r="219" spans="1:7" x14ac:dyDescent="0.25">
      <c r="A219" s="8"/>
      <c r="B219" s="40" t="s">
        <v>186</v>
      </c>
      <c r="C219" s="240" t="s">
        <v>187</v>
      </c>
      <c r="D219" s="240"/>
      <c r="E219" s="48">
        <f>E39</f>
        <v>9821105</v>
      </c>
      <c r="F219" s="48"/>
      <c r="G219" s="82">
        <f t="shared" si="5"/>
        <v>9821105</v>
      </c>
    </row>
    <row r="220" spans="1:7" x14ac:dyDescent="0.25">
      <c r="A220" s="8"/>
      <c r="B220" s="40" t="s">
        <v>188</v>
      </c>
      <c r="C220" s="240" t="s">
        <v>189</v>
      </c>
      <c r="D220" s="240"/>
      <c r="E220" s="48">
        <f>E42+E89</f>
        <v>770910</v>
      </c>
      <c r="F220" s="48"/>
      <c r="G220" s="82">
        <f t="shared" si="5"/>
        <v>770910</v>
      </c>
    </row>
    <row r="221" spans="1:7" x14ac:dyDescent="0.25">
      <c r="A221" s="8"/>
      <c r="B221" s="40" t="s">
        <v>190</v>
      </c>
      <c r="C221" s="240" t="s">
        <v>191</v>
      </c>
      <c r="D221" s="240"/>
      <c r="E221" s="48">
        <f>E44+E92+E95+E99+E103+E106</f>
        <v>5298375</v>
      </c>
      <c r="F221" s="48">
        <f>F44+F92+F95+F99+F103+F106</f>
        <v>12800</v>
      </c>
      <c r="G221" s="82">
        <f t="shared" si="5"/>
        <v>5311175</v>
      </c>
    </row>
    <row r="222" spans="1:7" x14ac:dyDescent="0.25">
      <c r="A222" s="8"/>
      <c r="B222" s="40" t="s">
        <v>192</v>
      </c>
      <c r="C222" s="240" t="s">
        <v>193</v>
      </c>
      <c r="D222" s="240"/>
      <c r="E222" s="48">
        <f>E52+E111+E115+E120+E125+E130+E135+E140+E145+E150+E155+E160+E165+E170+E175+E180+E185+E190+E195+E200</f>
        <v>37181930.600000001</v>
      </c>
      <c r="F222" s="48">
        <f>F52+F111+F115+F120+F125+F130+F135+F160+F165+F170+F175+F180+F185+F190</f>
        <v>10300</v>
      </c>
      <c r="G222" s="82">
        <f t="shared" si="5"/>
        <v>37192230.600000001</v>
      </c>
    </row>
    <row r="223" spans="1:7" x14ac:dyDescent="0.25">
      <c r="A223" s="8"/>
      <c r="B223" s="40" t="s">
        <v>194</v>
      </c>
      <c r="C223" s="240" t="s">
        <v>195</v>
      </c>
      <c r="D223" s="240"/>
      <c r="E223" s="48">
        <f>E58+E204+E211</f>
        <v>10587480</v>
      </c>
      <c r="F223" s="48">
        <f>F58+F204+F211</f>
        <v>-63017</v>
      </c>
      <c r="G223" s="82">
        <f t="shared" si="5"/>
        <v>10524463</v>
      </c>
    </row>
    <row r="224" spans="1:7" x14ac:dyDescent="0.25">
      <c r="A224" s="8"/>
      <c r="B224" s="41">
        <v>10</v>
      </c>
      <c r="C224" s="242" t="s">
        <v>196</v>
      </c>
      <c r="D224" s="243"/>
      <c r="E224" s="60">
        <f>E60</f>
        <v>871000</v>
      </c>
      <c r="F224" s="73"/>
      <c r="G224" s="82">
        <f t="shared" si="5"/>
        <v>871000</v>
      </c>
    </row>
    <row r="225" spans="1:7" ht="26.25" customHeight="1" thickBot="1" x14ac:dyDescent="0.3">
      <c r="A225" s="8"/>
      <c r="B225" s="41">
        <v>11</v>
      </c>
      <c r="C225" s="244" t="s">
        <v>197</v>
      </c>
      <c r="D225" s="244"/>
      <c r="E225" s="60">
        <f>E64</f>
        <v>277088</v>
      </c>
      <c r="F225" s="75"/>
      <c r="G225" s="83">
        <f t="shared" si="5"/>
        <v>277088</v>
      </c>
    </row>
    <row r="226" spans="1:7" ht="15.75" thickBot="1" x14ac:dyDescent="0.3">
      <c r="A226" s="8"/>
      <c r="B226" s="236" t="s">
        <v>174</v>
      </c>
      <c r="C226" s="237"/>
      <c r="D226" s="245"/>
      <c r="E226" s="69">
        <f t="shared" ref="E226:F226" si="6">SUBTOTAL(9,E215:E225)</f>
        <v>88561256.599999994</v>
      </c>
      <c r="F226" s="69">
        <f t="shared" si="6"/>
        <v>-4917</v>
      </c>
      <c r="G226" s="79">
        <f t="shared" si="5"/>
        <v>88556339.599999994</v>
      </c>
    </row>
    <row r="227" spans="1:7" ht="15.75" thickBot="1" x14ac:dyDescent="0.3">
      <c r="A227" s="8"/>
      <c r="B227" s="8"/>
      <c r="C227" s="8"/>
      <c r="D227" s="37"/>
      <c r="E227" s="8"/>
      <c r="F227" s="74"/>
      <c r="G227" s="74"/>
    </row>
    <row r="228" spans="1:7" ht="36.75" thickBot="1" x14ac:dyDescent="0.3">
      <c r="A228" s="8"/>
      <c r="B228" s="42" t="s">
        <v>198</v>
      </c>
      <c r="C228" s="214" t="s">
        <v>176</v>
      </c>
      <c r="D228" s="214"/>
      <c r="E228" s="61" t="s">
        <v>177</v>
      </c>
      <c r="F228" s="67" t="s">
        <v>209</v>
      </c>
      <c r="G228" s="68" t="s">
        <v>210</v>
      </c>
    </row>
    <row r="229" spans="1:7" ht="24.75" customHeight="1" x14ac:dyDescent="0.25">
      <c r="A229" s="8"/>
      <c r="B229" s="39" t="s">
        <v>81</v>
      </c>
      <c r="C229" s="246" t="s">
        <v>199</v>
      </c>
      <c r="D229" s="246"/>
      <c r="E229" s="85">
        <f>E11+E13+E18+E22+E27+E35+E40+E43+E45+E53+E59+E61+E66+E69+E71+E73+E75+E77+E79+E81+E83+E85+E87+E90+E93+E96+E100+E104+E107+E112+E116+E121+E126+E131+E136+E141+E146+E151+E156+E161+E166+E171+E176+E181+E186+E191+E196+E201+E205</f>
        <v>49144340</v>
      </c>
      <c r="F229" s="85">
        <f>F13+F66</f>
        <v>0</v>
      </c>
      <c r="G229" s="71">
        <f>E229+F229</f>
        <v>49144340</v>
      </c>
    </row>
    <row r="230" spans="1:7" ht="21" customHeight="1" x14ac:dyDescent="0.25">
      <c r="A230" s="8"/>
      <c r="B230" s="40" t="s">
        <v>84</v>
      </c>
      <c r="C230" s="241" t="s">
        <v>200</v>
      </c>
      <c r="D230" s="241"/>
      <c r="E230" s="46">
        <f>E14+E19+E91+E94+E97+E101+E105+E108+E113+E117+E122+E127+E132+E137+E142+E147+E152+E157+E162+E167+E172+E177+E182+E187+E192+E197+E202+E206</f>
        <v>2431570</v>
      </c>
      <c r="F230" s="46">
        <f>F14+F19+F91+F94+F97+F101+F105+F108+F113+F117+F122+F127+F132+F137+F142+F147+F152+F157+F162+F167+F172+F177+F182+F187+F192+F197+F202+F206</f>
        <v>20300</v>
      </c>
      <c r="G230" s="82">
        <f t="shared" ref="G230:G242" si="7">E230+F230</f>
        <v>2451870</v>
      </c>
    </row>
    <row r="231" spans="1:7" ht="24.75" customHeight="1" x14ac:dyDescent="0.25">
      <c r="A231" s="8"/>
      <c r="B231" s="40" t="s">
        <v>85</v>
      </c>
      <c r="C231" s="241" t="s">
        <v>201</v>
      </c>
      <c r="D231" s="241"/>
      <c r="E231" s="46">
        <f>E15+E23+E54+E63+E67+E88+E207</f>
        <v>4906997</v>
      </c>
      <c r="F231" s="46">
        <f>F15+F23+F54+F63+F67+F88+F207</f>
        <v>-92300</v>
      </c>
      <c r="G231" s="82">
        <f t="shared" si="7"/>
        <v>4814697</v>
      </c>
    </row>
    <row r="232" spans="1:7" ht="24.75" customHeight="1" x14ac:dyDescent="0.25">
      <c r="A232" s="8"/>
      <c r="B232" s="40" t="s">
        <v>102</v>
      </c>
      <c r="C232" s="251" t="s">
        <v>63</v>
      </c>
      <c r="D232" s="252"/>
      <c r="E232" s="46">
        <f>E38</f>
        <v>2390900</v>
      </c>
      <c r="F232" s="46">
        <f>F38</f>
        <v>0</v>
      </c>
      <c r="G232" s="82">
        <f t="shared" si="7"/>
        <v>2390900</v>
      </c>
    </row>
    <row r="233" spans="1:7" ht="27" customHeight="1" x14ac:dyDescent="0.25">
      <c r="A233" s="8"/>
      <c r="B233" s="40" t="s">
        <v>109</v>
      </c>
      <c r="C233" s="241" t="s">
        <v>59</v>
      </c>
      <c r="D233" s="241"/>
      <c r="E233" s="46">
        <f>E46+E50+E109+E114+E118+E123+E128+E133+E138+E143+E148+E153+E158+E163+E168+E173+E178+E183+E188+E193+E198</f>
        <v>20977599.600000001</v>
      </c>
      <c r="F233" s="101">
        <f>F46+F50+F51+F109+F114+F118+F123+F128+F133+F158+F163+F168+F173+F178+F183</f>
        <v>0</v>
      </c>
      <c r="G233" s="82">
        <f t="shared" si="7"/>
        <v>20977599.600000001</v>
      </c>
    </row>
    <row r="234" spans="1:7" ht="25.5" customHeight="1" x14ac:dyDescent="0.25">
      <c r="A234" s="8"/>
      <c r="B234" s="40" t="s">
        <v>110</v>
      </c>
      <c r="C234" s="241" t="s">
        <v>202</v>
      </c>
      <c r="D234" s="241"/>
      <c r="E234" s="46">
        <f>E48+E56+E98+E119+E124+E129+E134+E139+E144+E149+E154+E159+E164+E169+E174+E179+E184+E189+E194+E199+E203+E208+E110</f>
        <v>1440253</v>
      </c>
      <c r="F234" s="46">
        <f>F48+F56+F98+F119+F124+F129+F134+F139+F144+F149+F154+F159+F164+F169+F174+F179+F184+F189+F194+F199+F203+F208+F110+F32</f>
        <v>437923</v>
      </c>
      <c r="G234" s="82">
        <f t="shared" si="7"/>
        <v>1878176</v>
      </c>
    </row>
    <row r="235" spans="1:7" ht="24.75" customHeight="1" x14ac:dyDescent="0.25">
      <c r="A235" s="8"/>
      <c r="B235" s="40" t="s">
        <v>92</v>
      </c>
      <c r="C235" s="251" t="s">
        <v>268</v>
      </c>
      <c r="D235" s="252"/>
      <c r="E235" s="46">
        <f>E24+E31+E47+E55</f>
        <v>936709</v>
      </c>
      <c r="F235" s="46">
        <f>F24+F31+F47+F55+F210</f>
        <v>-398506</v>
      </c>
      <c r="G235" s="82">
        <f t="shared" si="7"/>
        <v>538203</v>
      </c>
    </row>
    <row r="236" spans="1:7" x14ac:dyDescent="0.25">
      <c r="A236" s="8"/>
      <c r="B236" s="40" t="s">
        <v>96</v>
      </c>
      <c r="C236" s="246" t="s">
        <v>203</v>
      </c>
      <c r="D236" s="246"/>
      <c r="E236" s="46">
        <f>E28</f>
        <v>1760000</v>
      </c>
      <c r="F236" s="73"/>
      <c r="G236" s="82">
        <f t="shared" si="7"/>
        <v>1760000</v>
      </c>
    </row>
    <row r="237" spans="1:7" ht="38.25" customHeight="1" x14ac:dyDescent="0.25">
      <c r="A237" s="8"/>
      <c r="B237" s="40" t="s">
        <v>86</v>
      </c>
      <c r="C237" s="241" t="s">
        <v>204</v>
      </c>
      <c r="D237" s="241"/>
      <c r="E237" s="46">
        <f>E16+E25+E33+E49+E57</f>
        <v>3066303</v>
      </c>
      <c r="F237" s="46">
        <f>F209+F102</f>
        <v>27666</v>
      </c>
      <c r="G237" s="82">
        <f t="shared" si="7"/>
        <v>3093969</v>
      </c>
    </row>
    <row r="238" spans="1:7" ht="28.5" customHeight="1" x14ac:dyDescent="0.25">
      <c r="A238" s="8"/>
      <c r="B238" s="40" t="s">
        <v>89</v>
      </c>
      <c r="C238" s="241" t="s">
        <v>205</v>
      </c>
      <c r="D238" s="241"/>
      <c r="E238" s="46">
        <f>E20+E30</f>
        <v>475000</v>
      </c>
      <c r="F238" s="73"/>
      <c r="G238" s="82">
        <f t="shared" si="7"/>
        <v>475000</v>
      </c>
    </row>
    <row r="239" spans="1:7" ht="25.5" customHeight="1" x14ac:dyDescent="0.25">
      <c r="A239" s="8"/>
      <c r="B239" s="40" t="s">
        <v>100</v>
      </c>
      <c r="C239" s="241" t="s">
        <v>206</v>
      </c>
      <c r="D239" s="241"/>
      <c r="E239" s="46">
        <f>E36+E62</f>
        <v>327000</v>
      </c>
      <c r="F239" s="73"/>
      <c r="G239" s="82">
        <f t="shared" si="7"/>
        <v>327000</v>
      </c>
    </row>
    <row r="240" spans="1:7" ht="25.5" customHeight="1" x14ac:dyDescent="0.25">
      <c r="A240" s="8"/>
      <c r="B240" s="40" t="s">
        <v>101</v>
      </c>
      <c r="C240" s="241" t="s">
        <v>207</v>
      </c>
      <c r="D240" s="241"/>
      <c r="E240" s="46">
        <f>E37+E41</f>
        <v>274585</v>
      </c>
      <c r="F240" s="46">
        <f>F37+F41</f>
        <v>0</v>
      </c>
      <c r="G240" s="82">
        <f t="shared" si="7"/>
        <v>274585</v>
      </c>
    </row>
    <row r="241" spans="1:7" ht="39" customHeight="1" thickBot="1" x14ac:dyDescent="0.3">
      <c r="A241" s="8"/>
      <c r="B241" s="41" t="s">
        <v>97</v>
      </c>
      <c r="C241" s="247" t="s">
        <v>208</v>
      </c>
      <c r="D241" s="247"/>
      <c r="E241" s="86">
        <f>E29</f>
        <v>430000</v>
      </c>
      <c r="F241" s="75"/>
      <c r="G241" s="83">
        <f t="shared" si="7"/>
        <v>430000</v>
      </c>
    </row>
    <row r="242" spans="1:7" ht="15.75" thickBot="1" x14ac:dyDescent="0.3">
      <c r="A242" s="8"/>
      <c r="B242" s="248" t="s">
        <v>174</v>
      </c>
      <c r="C242" s="249"/>
      <c r="D242" s="250"/>
      <c r="E242" s="62">
        <f>SUBTOTAL(9,E229:E241)</f>
        <v>88561256.599999994</v>
      </c>
      <c r="F242" s="62">
        <f>SUBTOTAL(9,F229:F241)</f>
        <v>-4917</v>
      </c>
      <c r="G242" s="79">
        <f t="shared" si="7"/>
        <v>88556339.599999994</v>
      </c>
    </row>
  </sheetData>
  <mergeCells count="135">
    <mergeCell ref="A8:G8"/>
    <mergeCell ref="C13:C16"/>
    <mergeCell ref="C18:C20"/>
    <mergeCell ref="C22:C25"/>
    <mergeCell ref="C27:C33"/>
    <mergeCell ref="C35:C38"/>
    <mergeCell ref="B107:B110"/>
    <mergeCell ref="C107:C110"/>
    <mergeCell ref="A96:A99"/>
    <mergeCell ref="B96:B98"/>
    <mergeCell ref="C96:C98"/>
    <mergeCell ref="A100:A103"/>
    <mergeCell ref="A90:A92"/>
    <mergeCell ref="B90:B91"/>
    <mergeCell ref="C90:C91"/>
    <mergeCell ref="A93:A95"/>
    <mergeCell ref="B93:B94"/>
    <mergeCell ref="C93:C94"/>
    <mergeCell ref="C40:C41"/>
    <mergeCell ref="C45:C49"/>
    <mergeCell ref="C53:C57"/>
    <mergeCell ref="C61:C63"/>
    <mergeCell ref="A66:A68"/>
    <mergeCell ref="B66:B67"/>
    <mergeCell ref="C66:C67"/>
    <mergeCell ref="A11:A12"/>
    <mergeCell ref="A13:A65"/>
    <mergeCell ref="B13:B64"/>
    <mergeCell ref="A81:A82"/>
    <mergeCell ref="A83:A84"/>
    <mergeCell ref="A85:A86"/>
    <mergeCell ref="A104:A106"/>
    <mergeCell ref="B104:B105"/>
    <mergeCell ref="C104:C105"/>
    <mergeCell ref="A107:A111"/>
    <mergeCell ref="A87:A89"/>
    <mergeCell ref="B87:B88"/>
    <mergeCell ref="C87:C88"/>
    <mergeCell ref="A69:A70"/>
    <mergeCell ref="A71:A72"/>
    <mergeCell ref="A73:A74"/>
    <mergeCell ref="A75:A76"/>
    <mergeCell ref="A77:A78"/>
    <mergeCell ref="A79:A80"/>
    <mergeCell ref="B100:B102"/>
    <mergeCell ref="C100:C102"/>
    <mergeCell ref="A121:A125"/>
    <mergeCell ref="B121:B124"/>
    <mergeCell ref="C121:C124"/>
    <mergeCell ref="A126:A130"/>
    <mergeCell ref="B126:B129"/>
    <mergeCell ref="C126:C129"/>
    <mergeCell ref="A112:A115"/>
    <mergeCell ref="B112:B114"/>
    <mergeCell ref="C112:C114"/>
    <mergeCell ref="A116:A120"/>
    <mergeCell ref="B116:B119"/>
    <mergeCell ref="C116:C119"/>
    <mergeCell ref="A141:A145"/>
    <mergeCell ref="B141:B144"/>
    <mergeCell ref="C141:C144"/>
    <mergeCell ref="A146:A150"/>
    <mergeCell ref="B146:B149"/>
    <mergeCell ref="C146:C149"/>
    <mergeCell ref="A131:A135"/>
    <mergeCell ref="B131:B134"/>
    <mergeCell ref="C131:C134"/>
    <mergeCell ref="A136:A140"/>
    <mergeCell ref="B136:B139"/>
    <mergeCell ref="C136:C139"/>
    <mergeCell ref="A161:A165"/>
    <mergeCell ref="B161:B164"/>
    <mergeCell ref="C161:C164"/>
    <mergeCell ref="A166:A170"/>
    <mergeCell ref="B166:B169"/>
    <mergeCell ref="C166:C169"/>
    <mergeCell ref="A151:A155"/>
    <mergeCell ref="B151:B154"/>
    <mergeCell ref="C151:C154"/>
    <mergeCell ref="A156:A160"/>
    <mergeCell ref="B156:B159"/>
    <mergeCell ref="C156:C159"/>
    <mergeCell ref="A181:A185"/>
    <mergeCell ref="B181:B184"/>
    <mergeCell ref="C181:C184"/>
    <mergeCell ref="A186:A190"/>
    <mergeCell ref="B186:B189"/>
    <mergeCell ref="C186:C189"/>
    <mergeCell ref="A171:A175"/>
    <mergeCell ref="B171:B174"/>
    <mergeCell ref="C171:C174"/>
    <mergeCell ref="A176:A180"/>
    <mergeCell ref="B176:B179"/>
    <mergeCell ref="C176:C179"/>
    <mergeCell ref="C240:D240"/>
    <mergeCell ref="C241:D241"/>
    <mergeCell ref="B242:D242"/>
    <mergeCell ref="C232:D232"/>
    <mergeCell ref="C233:D233"/>
    <mergeCell ref="C234:D234"/>
    <mergeCell ref="C235:D235"/>
    <mergeCell ref="C236:D236"/>
    <mergeCell ref="C237:D237"/>
    <mergeCell ref="C231:D231"/>
    <mergeCell ref="C219:D219"/>
    <mergeCell ref="C220:D220"/>
    <mergeCell ref="C221:D221"/>
    <mergeCell ref="C222:D222"/>
    <mergeCell ref="C223:D223"/>
    <mergeCell ref="C224:D224"/>
    <mergeCell ref="C238:D238"/>
    <mergeCell ref="C239:D239"/>
    <mergeCell ref="C225:D225"/>
    <mergeCell ref="B226:D226"/>
    <mergeCell ref="C228:D228"/>
    <mergeCell ref="C229:D229"/>
    <mergeCell ref="C230:D230"/>
    <mergeCell ref="C214:D214"/>
    <mergeCell ref="C215:D215"/>
    <mergeCell ref="C216:D216"/>
    <mergeCell ref="C217:D217"/>
    <mergeCell ref="C218:D218"/>
    <mergeCell ref="A201:A204"/>
    <mergeCell ref="B201:B203"/>
    <mergeCell ref="C201:C203"/>
    <mergeCell ref="A205:A211"/>
    <mergeCell ref="A191:A195"/>
    <mergeCell ref="B191:B194"/>
    <mergeCell ref="C191:C194"/>
    <mergeCell ref="A196:A200"/>
    <mergeCell ref="B196:B199"/>
    <mergeCell ref="B205:B210"/>
    <mergeCell ref="C205:C210"/>
    <mergeCell ref="C196:C199"/>
    <mergeCell ref="A212:C212"/>
  </mergeCells>
  <conditionalFormatting sqref="F26 F65 F42 F39 E11:E185 F106 F58 F95 F21 F52:G52 F111 F125 F130 F140 F135 F115 F120 F180 F160 F165 F170 F175 F34 F103 F17 F68">
    <cfRule type="cellIs" dxfId="13" priority="1" stopIfTrue="1" operator="equal">
      <formula>0</formula>
    </cfRule>
  </conditionalFormatting>
  <conditionalFormatting sqref="E40 E109:E110 E118:E119 E158:E159">
    <cfRule type="cellIs" dxfId="12" priority="11" stopIfTrue="1" operator="equal">
      <formula>0</formula>
    </cfRule>
  </conditionalFormatting>
  <conditionalFormatting sqref="E57">
    <cfRule type="cellIs" dxfId="11" priority="10" stopIfTrue="1" operator="equal">
      <formula>0</formula>
    </cfRule>
  </conditionalFormatting>
  <conditionalFormatting sqref="E66:E67">
    <cfRule type="cellIs" dxfId="10" priority="2" stopIfTrue="1" operator="equal">
      <formula>0</formula>
    </cfRule>
  </conditionalFormatting>
  <conditionalFormatting sqref="E69 E71 E73 E75 E77 E79 E81 E83 E85 E87:E88 E90 E93 E96 E98 E100:E102 E104:E105 E107 E126 E128:E129 E131:E132 E136 E138:E139 E141 E143:E144 E146 E148:E149 E151 E153:E154 E156 E161:E162 E166:E169 E171 E173:E174 E176 E178:E179 E181:E182 E191:E194 E196:E197 E201:E203 E205:E210 E11 E13:E16 E229:E241 F234:F235 F240 F237 F229:F232">
    <cfRule type="cellIs" dxfId="9" priority="14" stopIfTrue="1" operator="equal">
      <formula>0</formula>
    </cfRule>
  </conditionalFormatting>
  <conditionalFormatting sqref="E112 E114">
    <cfRule type="cellIs" dxfId="8" priority="7" stopIfTrue="1" operator="equal">
      <formula>0</formula>
    </cfRule>
  </conditionalFormatting>
  <conditionalFormatting sqref="E116">
    <cfRule type="cellIs" dxfId="7" priority="6" stopIfTrue="1" operator="equal">
      <formula>0</formula>
    </cfRule>
  </conditionalFormatting>
  <conditionalFormatting sqref="E121 E123:E124">
    <cfRule type="cellIs" dxfId="6" priority="5" stopIfTrue="1" operator="equal">
      <formula>0</formula>
    </cfRule>
  </conditionalFormatting>
  <conditionalFormatting sqref="E186:E187">
    <cfRule type="cellIs" dxfId="5" priority="4" stopIfTrue="1" operator="equal">
      <formula>0</formula>
    </cfRule>
  </conditionalFormatting>
  <conditionalFormatting sqref="E186:E190 F190">
    <cfRule type="cellIs" dxfId="4" priority="3" stopIfTrue="1" operator="equal">
      <formula>0</formula>
    </cfRule>
  </conditionalFormatting>
  <conditionalFormatting sqref="E191:E212 F204 F185 F211:F212">
    <cfRule type="cellIs" dxfId="3" priority="13" stopIfTrue="1" operator="equal">
      <formula>0</formula>
    </cfRule>
  </conditionalFormatting>
  <conditionalFormatting sqref="E212:F212">
    <cfRule type="cellIs" dxfId="2" priority="12" stopIfTrue="1" operator="equal">
      <formula>0</formula>
    </cfRule>
  </conditionalFormatting>
  <conditionalFormatting sqref="E215:E226 F226 F216:F223">
    <cfRule type="cellIs" dxfId="1" priority="9" stopIfTrue="1" operator="equal">
      <formula>0</formula>
    </cfRule>
  </conditionalFormatting>
  <conditionalFormatting sqref="E242:F242">
    <cfRule type="cellIs" dxfId="0" priority="8" stopIfTrue="1" operator="equal">
      <formula>0</formula>
    </cfRule>
  </conditionalFormatting>
  <pageMargins left="0.7" right="0.7" top="0.75" bottom="0.75" header="0.3" footer="0.3"/>
  <pageSetup paperSize="9" scale="98" orientation="portrait" verticalDpi="0" r:id="rId1"/>
  <rowBreaks count="1" manualBreakCount="1">
    <brk id="163" max="6" man="1"/>
  </rowBreaks>
  <ignoredErrors>
    <ignoredError sqref="F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3 priedas</vt:lpstr>
      <vt:lpstr>'1 priedas'!Print_Area</vt:lpstr>
      <vt:lpstr>'2 priedas'!Print_Area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Samalienė</dc:creator>
  <cp:lastModifiedBy>Edita Samalienė</cp:lastModifiedBy>
  <cp:lastPrinted>2025-08-12T12:11:26Z</cp:lastPrinted>
  <dcterms:created xsi:type="dcterms:W3CDTF">2025-03-26T13:26:14Z</dcterms:created>
  <dcterms:modified xsi:type="dcterms:W3CDTF">2025-08-12T12:13:14Z</dcterms:modified>
</cp:coreProperties>
</file>