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5" i="8" l="1"/>
  <c r="E233" i="8" l="1"/>
  <c r="E236" i="8"/>
  <c r="E234" i="8"/>
  <c r="E232" i="8"/>
  <c r="E210" i="8"/>
  <c r="E102" i="8"/>
  <c r="E51" i="8" l="1"/>
  <c r="E47" i="8" l="1"/>
  <c r="E152" i="8"/>
  <c r="E147" i="8"/>
  <c r="E142" i="8"/>
  <c r="E137" i="8"/>
  <c r="E34" i="8"/>
  <c r="E44" i="8" l="1"/>
  <c r="E36" i="8"/>
  <c r="E239" i="8" s="1"/>
  <c r="E13" i="8" l="1"/>
  <c r="E231" i="8" l="1"/>
  <c r="E240" i="8" l="1"/>
  <c r="E237" i="8"/>
  <c r="E235" i="8"/>
  <c r="E206" i="8"/>
  <c r="E230" i="8" s="1"/>
  <c r="E207" i="8"/>
  <c r="E202" i="8"/>
  <c r="E41" i="8"/>
  <c r="E52" i="8" l="1"/>
  <c r="E35" i="8"/>
  <c r="E238" i="8" s="1"/>
  <c r="E18" i="8"/>
  <c r="E96" i="8"/>
  <c r="E201" i="8"/>
  <c r="E90" i="8"/>
  <c r="E181" i="8"/>
  <c r="E196" i="8"/>
  <c r="E191" i="8"/>
  <c r="E171" i="8"/>
  <c r="E166" i="8"/>
  <c r="E161" i="8"/>
  <c r="E176" i="8"/>
  <c r="E156" i="8"/>
  <c r="E151" i="8"/>
  <c r="E141" i="8"/>
  <c r="E146" i="8"/>
  <c r="E131" i="8"/>
  <c r="E136" i="8"/>
  <c r="E126" i="8"/>
  <c r="E116" i="8"/>
  <c r="E112" i="8"/>
  <c r="E121" i="8"/>
  <c r="E107" i="8"/>
  <c r="E187" i="8"/>
  <c r="E197" i="8"/>
  <c r="E192" i="8"/>
  <c r="E185" i="8"/>
  <c r="E180" i="8"/>
  <c r="E195" i="8"/>
  <c r="E190" i="8"/>
  <c r="E170" i="8"/>
  <c r="E165" i="8"/>
  <c r="E155" i="8"/>
  <c r="E175" i="8"/>
  <c r="E160" i="8"/>
  <c r="E150" i="8"/>
  <c r="E140" i="8"/>
  <c r="E145" i="8"/>
  <c r="E135" i="8"/>
  <c r="E115" i="8"/>
  <c r="E111" i="8"/>
  <c r="E130" i="8"/>
  <c r="E125" i="8"/>
  <c r="E120" i="8"/>
  <c r="E106" i="8"/>
  <c r="E95" i="8"/>
  <c r="E92" i="8"/>
  <c r="E89" i="8"/>
  <c r="E169" i="8" l="1"/>
  <c r="E174" i="8"/>
  <c r="E119" i="8"/>
  <c r="E184" i="8"/>
  <c r="E199" i="8"/>
  <c r="E189" i="8"/>
  <c r="E194" i="8"/>
  <c r="E164" i="8"/>
  <c r="E179" i="8"/>
  <c r="E159" i="8"/>
  <c r="E154" i="8"/>
  <c r="E144" i="8"/>
  <c r="E149" i="8"/>
  <c r="E134" i="8"/>
  <c r="E139" i="8"/>
  <c r="E129" i="8"/>
  <c r="E124" i="8"/>
  <c r="E229" i="8"/>
  <c r="E20" i="8"/>
  <c r="E204" i="8" l="1"/>
  <c r="E228" i="8" l="1"/>
  <c r="E67" i="8"/>
  <c r="E114" i="8" l="1"/>
  <c r="E71" i="8"/>
  <c r="E63" i="8"/>
  <c r="E224" i="8" s="1"/>
  <c r="E59" i="8"/>
  <c r="E223" i="8" s="1"/>
  <c r="E241" i="8" l="1"/>
  <c r="E57" i="8"/>
  <c r="E43" i="8"/>
  <c r="E38" i="8"/>
  <c r="E218" i="8" s="1"/>
  <c r="E33" i="8"/>
  <c r="E217" i="8" s="1"/>
  <c r="E25" i="8"/>
  <c r="E216" i="8" s="1"/>
  <c r="E16" i="8"/>
  <c r="E11" i="8"/>
  <c r="E64" i="8" l="1"/>
  <c r="E214" i="8"/>
  <c r="E94" i="8"/>
  <c r="E77" i="8"/>
  <c r="E91" i="8"/>
  <c r="E73" i="8"/>
  <c r="E110" i="8"/>
  <c r="E221" i="8" s="1"/>
  <c r="E79" i="8"/>
  <c r="E88" i="8"/>
  <c r="E219" i="8" s="1"/>
  <c r="E81" i="8"/>
  <c r="E105" i="8"/>
  <c r="E69" i="8"/>
  <c r="E83" i="8"/>
  <c r="E203" i="8"/>
  <c r="E98" i="8"/>
  <c r="E75" i="8"/>
  <c r="E85" i="8"/>
  <c r="E211" i="8" l="1"/>
  <c r="E222" i="8"/>
  <c r="E215" i="8"/>
  <c r="E220" i="8"/>
  <c r="E225" i="8" l="1"/>
</calcChain>
</file>

<file path=xl/sharedStrings.xml><?xml version="1.0" encoding="utf-8"?>
<sst xmlns="http://schemas.openxmlformats.org/spreadsheetml/2006/main" count="394" uniqueCount="165">
  <si>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</si>
  <si>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</si>
  <si>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</si>
  <si>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</si>
  <si>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</si>
  <si>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</si>
  <si>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</si>
  <si>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</si>
  <si>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</si>
  <si>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</si>
  <si>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</si>
  <si>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</si>
  <si>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</si>
  <si>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</si>
  <si>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</si>
  <si>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</si>
  <si>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</si>
  <si>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</si>
  <si>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</si>
  <si>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</si>
  <si>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</si>
  <si>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</si>
  <si>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</si>
  <si>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</si>
  <si>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</si>
  <si>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</si>
  <si>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</si>
  <si>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</si>
  <si>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</si>
  <si>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</si>
  <si>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</si>
  <si>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</si>
  <si>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</si>
  <si>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</si>
  <si>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</si>
  <si>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</si>
  <si>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</si>
  <si>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</si>
  <si>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</si>
  <si>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</si>
  <si>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</si>
  <si>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</si>
  <si>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</si>
  <si>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</si>
  <si>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</si>
  <si>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</si>
  <si>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</si>
  <si>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</si>
  <si>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</si>
  <si>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</si>
  <si>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</si>
  <si>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</si>
  <si>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</si>
  <si>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</si>
  <si>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</si>
  <si>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</si>
  <si>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</si>
  <si>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</si>
  <si>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</si>
  <si>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</si>
  <si>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</si>
  <si>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</si>
  <si>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</si>
  <si>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</si>
  <si>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</si>
  <si>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</si>
  <si>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</si>
  <si>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</si>
  <si>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</si>
  <si>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</si>
  <si>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</si>
  <si>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</si>
  <si>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</si>
  <si>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</si>
  <si>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</si>
  <si>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</si>
  <si>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</si>
  <si>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</si>
  <si>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</si>
  <si>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</si>
  <si>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</si>
  <si>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</si>
  <si>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</si>
  <si>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</si>
  <si>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</si>
  <si>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</si>
  <si>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</si>
  <si>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</si>
  <si>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</si>
  <si>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</si>
  <si>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</si>
  <si>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</si>
  <si>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</si>
  <si>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</si>
  <si>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</si>
  <si>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</si>
  <si>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</si>
  <si>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</si>
  <si>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</si>
  <si>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</si>
  <si>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</si>
  <si>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</si>
  <si>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</si>
  <si>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</si>
  <si>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</si>
  <si>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</si>
  <si>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</si>
  <si>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</si>
  <si>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</si>
  <si>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</si>
  <si>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</si>
  <si>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</si>
  <si>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</si>
  <si>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</si>
  <si>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</si>
  <si>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</si>
  <si>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</si>
  <si>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</si>
  <si>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</si>
  <si>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</si>
  <si>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</si>
  <si>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</si>
  <si>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</si>
  <si>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</si>
  <si>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</si>
  <si>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</si>
  <si>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</si>
  <si>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</si>
  <si>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</si>
  <si>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</si>
  <si>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</si>
  <si>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</si>
  <si>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</si>
  <si>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</si>
  <si>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</si>
  <si>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</si>
  <si>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</si>
  <si>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</si>
  <si>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</si>
  <si>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</si>
  <si>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</si>
  <si>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</si>
  <si>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</si>
  <si>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</si>
  <si>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</si>
  <si>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</si>
  <si>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</si>
  <si>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</si>
  <si>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</si>
  <si>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</si>
  <si>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</si>
  <si>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</si>
  <si>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</si>
  <si>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</si>
  <si>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</si>
  <si>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</si>
  <si>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</si>
  <si>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</si>
  <si>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</si>
  <si>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</si>
  <si>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</si>
  <si>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</si>
  <si>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2025 m. rugpjūčio   d. sprendimo Nr. T2-     redakcija)</t>
  </si>
  <si>
    <t>V</t>
  </si>
  <si>
    <t>Klaipėdos Ernesto Galvanausko profesinio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</si>
</sst>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1"/>
  <sheetViews>
    <sheetView tabSelected="1" topLeftCell="A214" zoomScale="130" zoomScaleNormal="130" workbookViewId="0">
      <selection activeCell="I236" sqref="I236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68" t="s">
        <v>160</v>
      </c>
      <c r="E1" s="68"/>
    </row>
    <row r="2" spans="1:5" x14ac:dyDescent="0.2">
      <c r="B2" s="1"/>
      <c r="C2" s="1"/>
      <c r="D2" s="68"/>
      <c r="E2" s="68"/>
    </row>
    <row r="3" spans="1:5" ht="24.6" customHeight="1" x14ac:dyDescent="0.2">
      <c r="B3" s="1"/>
      <c r="C3" s="1"/>
      <c r="D3" s="68"/>
      <c r="E3" s="68"/>
    </row>
    <row r="4" spans="1:5" ht="12.75" customHeight="1" x14ac:dyDescent="0.2">
      <c r="B4" s="1"/>
      <c r="C4" s="1"/>
      <c r="D4" s="68" t="s">
        <v>161</v>
      </c>
      <c r="E4" s="68"/>
    </row>
    <row r="5" spans="1:5" ht="23.25" customHeight="1" x14ac:dyDescent="0.2">
      <c r="B5" s="1"/>
      <c r="C5" s="1"/>
      <c r="D5" s="68" t="s">
        <v>162</v>
      </c>
      <c r="E5" s="68"/>
    </row>
    <row r="6" spans="1:5" x14ac:dyDescent="0.2">
      <c r="B6" s="1"/>
      <c r="C6" s="1"/>
      <c r="D6" s="64"/>
      <c r="E6" s="64"/>
    </row>
    <row r="7" spans="1:5" ht="15.75" x14ac:dyDescent="0.2">
      <c r="A7" s="101" t="s">
        <v>64</v>
      </c>
      <c r="B7" s="101"/>
      <c r="C7" s="101"/>
      <c r="D7" s="101"/>
      <c r="E7" s="101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4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" customHeight="1" thickBot="1" x14ac:dyDescent="0.25">
      <c r="A11" s="75"/>
      <c r="B11" s="46" t="s">
        <v>20</v>
      </c>
      <c r="C11" s="47"/>
      <c r="D11" s="48"/>
      <c r="E11" s="49">
        <f>SUBTOTAL(9,E10:E10)</f>
        <v>111110</v>
      </c>
    </row>
    <row r="12" spans="1:5" x14ac:dyDescent="0.2">
      <c r="A12" s="69" t="s">
        <v>22</v>
      </c>
      <c r="B12" s="100" t="s">
        <v>29</v>
      </c>
      <c r="C12" s="100" t="s">
        <v>30</v>
      </c>
      <c r="D12" s="56" t="s">
        <v>1</v>
      </c>
      <c r="E12" s="57">
        <v>7132844</v>
      </c>
    </row>
    <row r="13" spans="1:5" ht="12" customHeight="1" x14ac:dyDescent="0.2">
      <c r="A13" s="70"/>
      <c r="B13" s="79"/>
      <c r="C13" s="79"/>
      <c r="D13" s="52" t="s">
        <v>4</v>
      </c>
      <c r="E13" s="58">
        <f>19200+12500-1700</f>
        <v>30000</v>
      </c>
    </row>
    <row r="14" spans="1:5" ht="12" customHeight="1" x14ac:dyDescent="0.2">
      <c r="A14" s="70"/>
      <c r="B14" s="79"/>
      <c r="C14" s="79"/>
      <c r="D14" s="52" t="s">
        <v>2</v>
      </c>
      <c r="E14" s="58">
        <v>256159</v>
      </c>
    </row>
    <row r="15" spans="1:5" ht="12" customHeight="1" x14ac:dyDescent="0.2">
      <c r="A15" s="70"/>
      <c r="B15" s="79"/>
      <c r="C15" s="79"/>
      <c r="D15" s="52" t="s">
        <v>43</v>
      </c>
      <c r="E15" s="58">
        <v>62920</v>
      </c>
    </row>
    <row r="16" spans="1:5" ht="12" customHeight="1" x14ac:dyDescent="0.2">
      <c r="A16" s="70"/>
      <c r="B16" s="79"/>
      <c r="C16" s="53" t="s">
        <v>144</v>
      </c>
      <c r="D16" s="54"/>
      <c r="E16" s="59">
        <f>SUBTOTAL(9,E12:E15)</f>
        <v>7481923</v>
      </c>
    </row>
    <row r="17" spans="1:5" ht="12" customHeight="1" x14ac:dyDescent="0.2">
      <c r="A17" s="70"/>
      <c r="B17" s="79"/>
      <c r="C17" s="78" t="s">
        <v>31</v>
      </c>
      <c r="D17" s="52" t="s">
        <v>1</v>
      </c>
      <c r="E17" s="58">
        <v>1138000</v>
      </c>
    </row>
    <row r="18" spans="1:5" ht="12" customHeight="1" x14ac:dyDescent="0.2">
      <c r="A18" s="70"/>
      <c r="B18" s="79"/>
      <c r="C18" s="78"/>
      <c r="D18" s="52" t="s">
        <v>4</v>
      </c>
      <c r="E18" s="58">
        <f>49050+72000</f>
        <v>121050</v>
      </c>
    </row>
    <row r="19" spans="1:5" ht="12" customHeight="1" x14ac:dyDescent="0.2">
      <c r="A19" s="70"/>
      <c r="B19" s="79"/>
      <c r="C19" s="78"/>
      <c r="D19" s="52" t="s">
        <v>101</v>
      </c>
      <c r="E19" s="58">
        <v>300000</v>
      </c>
    </row>
    <row r="20" spans="1:5" ht="12" customHeight="1" x14ac:dyDescent="0.2">
      <c r="A20" s="70"/>
      <c r="B20" s="79"/>
      <c r="C20" s="53" t="s">
        <v>145</v>
      </c>
      <c r="D20" s="54"/>
      <c r="E20" s="59">
        <f>SUM(E17:E19)</f>
        <v>1559050</v>
      </c>
    </row>
    <row r="21" spans="1:5" ht="12" customHeight="1" x14ac:dyDescent="0.2">
      <c r="A21" s="70"/>
      <c r="B21" s="79"/>
      <c r="C21" s="78" t="s">
        <v>32</v>
      </c>
      <c r="D21" s="52" t="s">
        <v>1</v>
      </c>
      <c r="E21" s="58">
        <v>226972</v>
      </c>
    </row>
    <row r="22" spans="1:5" ht="12" customHeight="1" x14ac:dyDescent="0.2">
      <c r="A22" s="70"/>
      <c r="B22" s="79"/>
      <c r="C22" s="79"/>
      <c r="D22" s="52" t="s">
        <v>2</v>
      </c>
      <c r="E22" s="58">
        <v>416800</v>
      </c>
    </row>
    <row r="23" spans="1:5" ht="12" customHeight="1" x14ac:dyDescent="0.2">
      <c r="A23" s="70"/>
      <c r="B23" s="79"/>
      <c r="C23" s="79"/>
      <c r="D23" s="52" t="s">
        <v>105</v>
      </c>
      <c r="E23" s="58">
        <v>21880</v>
      </c>
    </row>
    <row r="24" spans="1:5" ht="12" customHeight="1" x14ac:dyDescent="0.2">
      <c r="A24" s="70"/>
      <c r="B24" s="79"/>
      <c r="C24" s="79"/>
      <c r="D24" s="52" t="s">
        <v>33</v>
      </c>
      <c r="E24" s="58">
        <v>126830</v>
      </c>
    </row>
    <row r="25" spans="1:5" ht="12" customHeight="1" x14ac:dyDescent="0.2">
      <c r="A25" s="70"/>
      <c r="B25" s="79"/>
      <c r="C25" s="53" t="s">
        <v>146</v>
      </c>
      <c r="D25" s="54"/>
      <c r="E25" s="59">
        <f>SUBTOTAL(9,E21:E24)</f>
        <v>792482</v>
      </c>
    </row>
    <row r="26" spans="1:5" ht="12" customHeight="1" x14ac:dyDescent="0.2">
      <c r="A26" s="70"/>
      <c r="B26" s="79"/>
      <c r="C26" s="78" t="s">
        <v>34</v>
      </c>
      <c r="D26" s="52" t="s">
        <v>1</v>
      </c>
      <c r="E26" s="58">
        <v>4902375</v>
      </c>
    </row>
    <row r="27" spans="1:5" ht="12" customHeight="1" x14ac:dyDescent="0.2">
      <c r="A27" s="70"/>
      <c r="B27" s="79"/>
      <c r="C27" s="79"/>
      <c r="D27" s="52" t="s">
        <v>35</v>
      </c>
      <c r="E27" s="58">
        <v>1760000</v>
      </c>
    </row>
    <row r="28" spans="1:5" ht="12" customHeight="1" x14ac:dyDescent="0.2">
      <c r="A28" s="70"/>
      <c r="B28" s="79"/>
      <c r="C28" s="79"/>
      <c r="D28" s="52" t="s">
        <v>103</v>
      </c>
      <c r="E28" s="58">
        <v>430000</v>
      </c>
    </row>
    <row r="29" spans="1:5" ht="12" customHeight="1" x14ac:dyDescent="0.2">
      <c r="A29" s="70"/>
      <c r="B29" s="79"/>
      <c r="C29" s="79"/>
      <c r="D29" s="52" t="s">
        <v>101</v>
      </c>
      <c r="E29" s="58">
        <v>175000</v>
      </c>
    </row>
    <row r="30" spans="1:5" ht="12" customHeight="1" x14ac:dyDescent="0.2">
      <c r="A30" s="70"/>
      <c r="B30" s="79"/>
      <c r="C30" s="79"/>
      <c r="D30" s="52" t="s">
        <v>105</v>
      </c>
      <c r="E30" s="58">
        <v>112993</v>
      </c>
    </row>
    <row r="31" spans="1:5" ht="12" customHeight="1" x14ac:dyDescent="0.2">
      <c r="A31" s="70"/>
      <c r="B31" s="79"/>
      <c r="C31" s="79"/>
      <c r="D31" s="52" t="s">
        <v>163</v>
      </c>
      <c r="E31" s="58">
        <v>437223</v>
      </c>
    </row>
    <row r="32" spans="1:5" ht="12" customHeight="1" x14ac:dyDescent="0.2">
      <c r="A32" s="70"/>
      <c r="B32" s="79"/>
      <c r="C32" s="79"/>
      <c r="D32" s="52" t="s">
        <v>33</v>
      </c>
      <c r="E32" s="58">
        <v>2139565</v>
      </c>
    </row>
    <row r="33" spans="1:5" ht="12" customHeight="1" x14ac:dyDescent="0.2">
      <c r="A33" s="70"/>
      <c r="B33" s="79"/>
      <c r="C33" s="53" t="s">
        <v>147</v>
      </c>
      <c r="D33" s="54"/>
      <c r="E33" s="59">
        <f>SUBTOTAL(9,E26:E32)</f>
        <v>9957156</v>
      </c>
    </row>
    <row r="34" spans="1:5" ht="12" customHeight="1" x14ac:dyDescent="0.2">
      <c r="A34" s="70"/>
      <c r="B34" s="79"/>
      <c r="C34" s="78" t="s">
        <v>37</v>
      </c>
      <c r="D34" s="52" t="s">
        <v>1</v>
      </c>
      <c r="E34" s="58">
        <f>5998560+924740</f>
        <v>6923300</v>
      </c>
    </row>
    <row r="35" spans="1:5" ht="12" customHeight="1" x14ac:dyDescent="0.2">
      <c r="A35" s="70"/>
      <c r="B35" s="79"/>
      <c r="C35" s="78"/>
      <c r="D35" s="52" t="s">
        <v>38</v>
      </c>
      <c r="E35" s="58">
        <f>139000+126000</f>
        <v>265000</v>
      </c>
    </row>
    <row r="36" spans="1:5" ht="12" customHeight="1" x14ac:dyDescent="0.2">
      <c r="A36" s="70"/>
      <c r="B36" s="79"/>
      <c r="C36" s="78"/>
      <c r="D36" s="52" t="s">
        <v>39</v>
      </c>
      <c r="E36" s="58">
        <f>81678+160227</f>
        <v>241905</v>
      </c>
    </row>
    <row r="37" spans="1:5" ht="12" customHeight="1" x14ac:dyDescent="0.2">
      <c r="A37" s="70"/>
      <c r="B37" s="79"/>
      <c r="C37" s="78"/>
      <c r="D37" s="52" t="s">
        <v>158</v>
      </c>
      <c r="E37" s="58">
        <v>2390900</v>
      </c>
    </row>
    <row r="38" spans="1:5" ht="12" customHeight="1" x14ac:dyDescent="0.2">
      <c r="A38" s="70"/>
      <c r="B38" s="79"/>
      <c r="C38" s="53" t="s">
        <v>148</v>
      </c>
      <c r="D38" s="54"/>
      <c r="E38" s="59">
        <f>SUBTOTAL(9,E34:E37)</f>
        <v>9821105</v>
      </c>
    </row>
    <row r="39" spans="1:5" ht="12" customHeight="1" x14ac:dyDescent="0.2">
      <c r="A39" s="70"/>
      <c r="B39" s="79"/>
      <c r="C39" s="78" t="s">
        <v>40</v>
      </c>
      <c r="D39" s="52" t="s">
        <v>1</v>
      </c>
      <c r="E39" s="58">
        <v>247320</v>
      </c>
    </row>
    <row r="40" spans="1:5" ht="12" customHeight="1" x14ac:dyDescent="0.2">
      <c r="A40" s="70"/>
      <c r="B40" s="79"/>
      <c r="C40" s="78"/>
      <c r="D40" s="52" t="s">
        <v>39</v>
      </c>
      <c r="E40" s="58">
        <v>32680</v>
      </c>
    </row>
    <row r="41" spans="1:5" ht="12" customHeight="1" x14ac:dyDescent="0.2">
      <c r="A41" s="70"/>
      <c r="B41" s="79"/>
      <c r="C41" s="53" t="s">
        <v>149</v>
      </c>
      <c r="D41" s="54"/>
      <c r="E41" s="59">
        <f>SUBTOTAL(9,E39:E40)</f>
        <v>280000</v>
      </c>
    </row>
    <row r="42" spans="1:5" ht="12" customHeight="1" x14ac:dyDescent="0.2">
      <c r="A42" s="70"/>
      <c r="B42" s="79"/>
      <c r="C42" s="51" t="s">
        <v>41</v>
      </c>
      <c r="D42" s="52" t="s">
        <v>1</v>
      </c>
      <c r="E42" s="58">
        <v>429000</v>
      </c>
    </row>
    <row r="43" spans="1:5" ht="12" customHeight="1" x14ac:dyDescent="0.2">
      <c r="A43" s="70"/>
      <c r="B43" s="79"/>
      <c r="C43" s="53" t="s">
        <v>150</v>
      </c>
      <c r="D43" s="54"/>
      <c r="E43" s="59">
        <f>SUBTOTAL(9,E42:E42)</f>
        <v>429000</v>
      </c>
    </row>
    <row r="44" spans="1:5" ht="12" customHeight="1" x14ac:dyDescent="0.2">
      <c r="A44" s="70"/>
      <c r="B44" s="79"/>
      <c r="C44" s="78" t="s">
        <v>42</v>
      </c>
      <c r="D44" s="52" t="s">
        <v>1</v>
      </c>
      <c r="E44" s="58">
        <f>150000+1214600+20000</f>
        <v>1384600</v>
      </c>
    </row>
    <row r="45" spans="1:5" ht="12" customHeight="1" x14ac:dyDescent="0.2">
      <c r="A45" s="70"/>
      <c r="B45" s="79"/>
      <c r="C45" s="79"/>
      <c r="D45" s="52" t="s">
        <v>3</v>
      </c>
      <c r="E45" s="58">
        <v>461257</v>
      </c>
    </row>
    <row r="46" spans="1:5" ht="12" customHeight="1" x14ac:dyDescent="0.2">
      <c r="A46" s="70"/>
      <c r="B46" s="79"/>
      <c r="C46" s="79"/>
      <c r="D46" s="52" t="s">
        <v>105</v>
      </c>
      <c r="E46" s="58">
        <v>393463</v>
      </c>
    </row>
    <row r="47" spans="1:5" ht="12" customHeight="1" x14ac:dyDescent="0.2">
      <c r="A47" s="70"/>
      <c r="B47" s="79"/>
      <c r="C47" s="79"/>
      <c r="D47" s="52" t="s">
        <v>36</v>
      </c>
      <c r="E47" s="58">
        <f>910062-119400-359463</f>
        <v>431199</v>
      </c>
    </row>
    <row r="48" spans="1:5" ht="12" customHeight="1" x14ac:dyDescent="0.2">
      <c r="A48" s="70"/>
      <c r="B48" s="79"/>
      <c r="C48" s="79"/>
      <c r="D48" s="52" t="s">
        <v>43</v>
      </c>
      <c r="E48" s="58">
        <v>696818</v>
      </c>
    </row>
    <row r="49" spans="1:5" ht="12" customHeight="1" x14ac:dyDescent="0.2">
      <c r="A49" s="70"/>
      <c r="B49" s="79"/>
      <c r="C49" s="51" t="s">
        <v>104</v>
      </c>
      <c r="D49" s="52" t="s">
        <v>3</v>
      </c>
      <c r="E49" s="36">
        <v>3034431</v>
      </c>
    </row>
    <row r="50" spans="1:5" ht="23.25" customHeight="1" x14ac:dyDescent="0.2">
      <c r="A50" s="70"/>
      <c r="B50" s="79"/>
      <c r="C50" s="67" t="s">
        <v>164</v>
      </c>
      <c r="D50" s="52" t="s">
        <v>3</v>
      </c>
      <c r="E50" s="36">
        <v>504</v>
      </c>
    </row>
    <row r="51" spans="1:5" ht="12" customHeight="1" x14ac:dyDescent="0.2">
      <c r="A51" s="70"/>
      <c r="B51" s="79"/>
      <c r="C51" s="53" t="s">
        <v>151</v>
      </c>
      <c r="D51" s="54"/>
      <c r="E51" s="59">
        <f>SUBTOTAL(9,E44:E50)</f>
        <v>6402272</v>
      </c>
    </row>
    <row r="52" spans="1:5" ht="12" customHeight="1" x14ac:dyDescent="0.2">
      <c r="A52" s="70"/>
      <c r="B52" s="79"/>
      <c r="C52" s="78" t="s">
        <v>44</v>
      </c>
      <c r="D52" s="52" t="s">
        <v>1</v>
      </c>
      <c r="E52" s="58">
        <f>274344+3366000</f>
        <v>3640344</v>
      </c>
    </row>
    <row r="53" spans="1:5" ht="12" customHeight="1" x14ac:dyDescent="0.2">
      <c r="A53" s="70"/>
      <c r="B53" s="79"/>
      <c r="C53" s="79"/>
      <c r="D53" s="52" t="s">
        <v>2</v>
      </c>
      <c r="E53" s="58">
        <v>2348100</v>
      </c>
    </row>
    <row r="54" spans="1:5" ht="12" customHeight="1" x14ac:dyDescent="0.2">
      <c r="A54" s="70"/>
      <c r="B54" s="79"/>
      <c r="C54" s="79"/>
      <c r="D54" s="52" t="s">
        <v>105</v>
      </c>
      <c r="E54" s="58">
        <v>6150</v>
      </c>
    </row>
    <row r="55" spans="1:5" ht="12" customHeight="1" x14ac:dyDescent="0.2">
      <c r="A55" s="70"/>
      <c r="B55" s="79"/>
      <c r="C55" s="79"/>
      <c r="D55" s="52" t="s">
        <v>36</v>
      </c>
      <c r="E55" s="58">
        <v>336525</v>
      </c>
    </row>
    <row r="56" spans="1:5" ht="12" customHeight="1" x14ac:dyDescent="0.2">
      <c r="A56" s="70"/>
      <c r="B56" s="79"/>
      <c r="C56" s="79"/>
      <c r="D56" s="52" t="s">
        <v>43</v>
      </c>
      <c r="E56" s="58">
        <v>40170</v>
      </c>
    </row>
    <row r="57" spans="1:5" ht="12" customHeight="1" x14ac:dyDescent="0.2">
      <c r="A57" s="70"/>
      <c r="B57" s="79"/>
      <c r="C57" s="53" t="s">
        <v>152</v>
      </c>
      <c r="D57" s="54"/>
      <c r="E57" s="59">
        <f>SUBTOTAL(9,E52:E56)</f>
        <v>6371289</v>
      </c>
    </row>
    <row r="58" spans="1:5" ht="12" customHeight="1" x14ac:dyDescent="0.2">
      <c r="A58" s="70"/>
      <c r="B58" s="79"/>
      <c r="C58" s="55" t="s">
        <v>45</v>
      </c>
      <c r="D58" s="52" t="s">
        <v>1</v>
      </c>
      <c r="E58" s="58">
        <v>871000</v>
      </c>
    </row>
    <row r="59" spans="1:5" ht="12" customHeight="1" x14ac:dyDescent="0.2">
      <c r="A59" s="70"/>
      <c r="B59" s="79"/>
      <c r="C59" s="53" t="s">
        <v>153</v>
      </c>
      <c r="D59" s="52"/>
      <c r="E59" s="59">
        <f>SUBTOTAL(9,E58:E58)</f>
        <v>871000</v>
      </c>
    </row>
    <row r="60" spans="1:5" ht="12" customHeight="1" x14ac:dyDescent="0.2">
      <c r="A60" s="70"/>
      <c r="B60" s="79"/>
      <c r="C60" s="78" t="s">
        <v>46</v>
      </c>
      <c r="D60" s="52" t="s">
        <v>1</v>
      </c>
      <c r="E60" s="58">
        <v>118000</v>
      </c>
    </row>
    <row r="61" spans="1:5" ht="12" customHeight="1" x14ac:dyDescent="0.2">
      <c r="A61" s="70"/>
      <c r="B61" s="79"/>
      <c r="C61" s="78"/>
      <c r="D61" s="52" t="s">
        <v>38</v>
      </c>
      <c r="E61" s="58">
        <v>62000</v>
      </c>
    </row>
    <row r="62" spans="1:5" ht="12" customHeight="1" x14ac:dyDescent="0.2">
      <c r="A62" s="70"/>
      <c r="B62" s="79"/>
      <c r="C62" s="78"/>
      <c r="D62" s="52" t="s">
        <v>2</v>
      </c>
      <c r="E62" s="58">
        <v>97088</v>
      </c>
    </row>
    <row r="63" spans="1:5" ht="12" customHeight="1" x14ac:dyDescent="0.2">
      <c r="A63" s="70"/>
      <c r="B63" s="79"/>
      <c r="C63" s="53" t="s">
        <v>154</v>
      </c>
      <c r="D63" s="54"/>
      <c r="E63" s="59">
        <f>SUBTOTAL(9,E60:E62)</f>
        <v>277088</v>
      </c>
    </row>
    <row r="64" spans="1:5" ht="12.75" thickBot="1" x14ac:dyDescent="0.25">
      <c r="A64" s="71"/>
      <c r="B64" s="60" t="s">
        <v>20</v>
      </c>
      <c r="C64" s="61"/>
      <c r="D64" s="62"/>
      <c r="E64" s="63">
        <f>E16+E20+E25+E33+E38+E41+E43+E51+E57+E59+E63</f>
        <v>44242365</v>
      </c>
    </row>
    <row r="65" spans="1:5" x14ac:dyDescent="0.2">
      <c r="A65" s="75" t="s">
        <v>107</v>
      </c>
      <c r="B65" s="77" t="s">
        <v>102</v>
      </c>
      <c r="C65" s="77" t="s">
        <v>30</v>
      </c>
      <c r="D65" s="44" t="s">
        <v>1</v>
      </c>
      <c r="E65" s="50">
        <v>33229</v>
      </c>
    </row>
    <row r="66" spans="1:5" x14ac:dyDescent="0.2">
      <c r="A66" s="75"/>
      <c r="B66" s="73"/>
      <c r="C66" s="73"/>
      <c r="D66" s="27" t="s">
        <v>2</v>
      </c>
      <c r="E66" s="30">
        <v>734600</v>
      </c>
    </row>
    <row r="67" spans="1:5" ht="13.9" customHeight="1" thickBot="1" x14ac:dyDescent="0.25">
      <c r="A67" s="76"/>
      <c r="B67" s="20" t="s">
        <v>20</v>
      </c>
      <c r="C67" s="21"/>
      <c r="D67" s="22"/>
      <c r="E67" s="33">
        <f>SUBTOTAL(9,E65:E66)</f>
        <v>767829</v>
      </c>
    </row>
    <row r="68" spans="1:5" ht="24" x14ac:dyDescent="0.2">
      <c r="A68" s="74" t="s">
        <v>108</v>
      </c>
      <c r="B68" s="25" t="s">
        <v>48</v>
      </c>
      <c r="C68" s="24" t="s">
        <v>31</v>
      </c>
      <c r="D68" s="8" t="s">
        <v>1</v>
      </c>
      <c r="E68" s="28">
        <v>290432</v>
      </c>
    </row>
    <row r="69" spans="1:5" ht="13.9" customHeight="1" thickBot="1" x14ac:dyDescent="0.25">
      <c r="A69" s="76"/>
      <c r="B69" s="20" t="s">
        <v>20</v>
      </c>
      <c r="C69" s="21"/>
      <c r="D69" s="22"/>
      <c r="E69" s="33">
        <f>SUBTOTAL(9,E68:E68)</f>
        <v>290432</v>
      </c>
    </row>
    <row r="70" spans="1:5" ht="24" x14ac:dyDescent="0.2">
      <c r="A70" s="74" t="s">
        <v>109</v>
      </c>
      <c r="B70" s="26" t="s">
        <v>49</v>
      </c>
      <c r="C70" s="24" t="s">
        <v>31</v>
      </c>
      <c r="D70" s="8" t="s">
        <v>1</v>
      </c>
      <c r="E70" s="28">
        <v>160480</v>
      </c>
    </row>
    <row r="71" spans="1:5" ht="13.9" customHeight="1" thickBot="1" x14ac:dyDescent="0.25">
      <c r="A71" s="76"/>
      <c r="B71" s="20" t="s">
        <v>20</v>
      </c>
      <c r="C71" s="21"/>
      <c r="D71" s="22"/>
      <c r="E71" s="33">
        <f>SUBTOTAL(9,E70:E70)</f>
        <v>160480</v>
      </c>
    </row>
    <row r="72" spans="1:5" ht="24" x14ac:dyDescent="0.2">
      <c r="A72" s="74" t="s">
        <v>110</v>
      </c>
      <c r="B72" s="26" t="s">
        <v>50</v>
      </c>
      <c r="C72" s="24" t="s">
        <v>31</v>
      </c>
      <c r="D72" s="8" t="s">
        <v>1</v>
      </c>
      <c r="E72" s="28">
        <v>151950</v>
      </c>
    </row>
    <row r="73" spans="1:5" ht="13.9" customHeight="1" thickBot="1" x14ac:dyDescent="0.25">
      <c r="A73" s="76"/>
      <c r="B73" s="20" t="s">
        <v>20</v>
      </c>
      <c r="C73" s="21"/>
      <c r="D73" s="22"/>
      <c r="E73" s="33">
        <f>SUBTOTAL(9,E72:E72)</f>
        <v>151950</v>
      </c>
    </row>
    <row r="74" spans="1:5" ht="24" x14ac:dyDescent="0.2">
      <c r="A74" s="74" t="s">
        <v>111</v>
      </c>
      <c r="B74" s="24" t="s">
        <v>47</v>
      </c>
      <c r="C74" s="24" t="s">
        <v>31</v>
      </c>
      <c r="D74" s="8" t="s">
        <v>1</v>
      </c>
      <c r="E74" s="28">
        <v>1561626</v>
      </c>
    </row>
    <row r="75" spans="1:5" ht="13.9" customHeight="1" thickBot="1" x14ac:dyDescent="0.25">
      <c r="A75" s="76"/>
      <c r="B75" s="20" t="s">
        <v>20</v>
      </c>
      <c r="C75" s="21"/>
      <c r="D75" s="22"/>
      <c r="E75" s="33">
        <f>SUBTOTAL(9,E74:E74)</f>
        <v>1561626</v>
      </c>
    </row>
    <row r="76" spans="1:5" ht="24" x14ac:dyDescent="0.2">
      <c r="A76" s="74" t="s">
        <v>112</v>
      </c>
      <c r="B76" s="26" t="s">
        <v>51</v>
      </c>
      <c r="C76" s="24" t="s">
        <v>31</v>
      </c>
      <c r="D76" s="8" t="s">
        <v>1</v>
      </c>
      <c r="E76" s="28">
        <v>216128</v>
      </c>
    </row>
    <row r="77" spans="1:5" ht="13.9" customHeight="1" thickBot="1" x14ac:dyDescent="0.25">
      <c r="A77" s="76"/>
      <c r="B77" s="20" t="s">
        <v>20</v>
      </c>
      <c r="C77" s="21"/>
      <c r="D77" s="22"/>
      <c r="E77" s="33">
        <f>SUBTOTAL(9,E76:E76)</f>
        <v>216128</v>
      </c>
    </row>
    <row r="78" spans="1:5" ht="24" x14ac:dyDescent="0.2">
      <c r="A78" s="74" t="s">
        <v>113</v>
      </c>
      <c r="B78" s="26" t="s">
        <v>52</v>
      </c>
      <c r="C78" s="24" t="s">
        <v>31</v>
      </c>
      <c r="D78" s="8" t="s">
        <v>1</v>
      </c>
      <c r="E78" s="28">
        <v>139090</v>
      </c>
    </row>
    <row r="79" spans="1:5" ht="13.9" customHeight="1" thickBot="1" x14ac:dyDescent="0.25">
      <c r="A79" s="76"/>
      <c r="B79" s="20" t="s">
        <v>20</v>
      </c>
      <c r="C79" s="21"/>
      <c r="D79" s="22"/>
      <c r="E79" s="33">
        <f>SUBTOTAL(9,E78:E78)</f>
        <v>139090</v>
      </c>
    </row>
    <row r="80" spans="1:5" ht="24" x14ac:dyDescent="0.2">
      <c r="A80" s="74" t="s">
        <v>114</v>
      </c>
      <c r="B80" s="26" t="s">
        <v>53</v>
      </c>
      <c r="C80" s="24" t="s">
        <v>31</v>
      </c>
      <c r="D80" s="8" t="s">
        <v>1</v>
      </c>
      <c r="E80" s="28">
        <v>257306</v>
      </c>
    </row>
    <row r="81" spans="1:8" ht="13.9" customHeight="1" thickBot="1" x14ac:dyDescent="0.25">
      <c r="A81" s="76"/>
      <c r="B81" s="20" t="s">
        <v>20</v>
      </c>
      <c r="C81" s="21"/>
      <c r="D81" s="22"/>
      <c r="E81" s="33">
        <f>SUBTOTAL(9,E80:E80)</f>
        <v>257306</v>
      </c>
    </row>
    <row r="82" spans="1:8" ht="24" x14ac:dyDescent="0.2">
      <c r="A82" s="74" t="s">
        <v>115</v>
      </c>
      <c r="B82" s="26" t="s">
        <v>54</v>
      </c>
      <c r="C82" s="24" t="s">
        <v>31</v>
      </c>
      <c r="D82" s="8" t="s">
        <v>1</v>
      </c>
      <c r="E82" s="28">
        <v>144134</v>
      </c>
    </row>
    <row r="83" spans="1:8" ht="13.9" customHeight="1" thickBot="1" x14ac:dyDescent="0.25">
      <c r="A83" s="76"/>
      <c r="B83" s="20" t="s">
        <v>20</v>
      </c>
      <c r="C83" s="21"/>
      <c r="D83" s="22"/>
      <c r="E83" s="33">
        <f>SUBTOTAL(9,E82:E82)</f>
        <v>144134</v>
      </c>
    </row>
    <row r="84" spans="1:8" ht="24" x14ac:dyDescent="0.2">
      <c r="A84" s="74" t="s">
        <v>116</v>
      </c>
      <c r="B84" s="26" t="s">
        <v>55</v>
      </c>
      <c r="C84" s="24" t="s">
        <v>31</v>
      </c>
      <c r="D84" s="8" t="s">
        <v>1</v>
      </c>
      <c r="E84" s="28">
        <v>197672</v>
      </c>
    </row>
    <row r="85" spans="1:8" ht="13.9" customHeight="1" thickBot="1" x14ac:dyDescent="0.25">
      <c r="A85" s="76"/>
      <c r="B85" s="20" t="s">
        <v>20</v>
      </c>
      <c r="C85" s="21"/>
      <c r="D85" s="22"/>
      <c r="E85" s="33">
        <f>SUBTOTAL(9,E84:E84)</f>
        <v>197672</v>
      </c>
      <c r="H85" s="34"/>
    </row>
    <row r="86" spans="1:8" ht="12" customHeight="1" x14ac:dyDescent="0.2">
      <c r="A86" s="74" t="s">
        <v>117</v>
      </c>
      <c r="B86" s="72" t="s">
        <v>56</v>
      </c>
      <c r="C86" s="72" t="s">
        <v>40</v>
      </c>
      <c r="D86" s="8" t="s">
        <v>1</v>
      </c>
      <c r="E86" s="28">
        <v>9660</v>
      </c>
    </row>
    <row r="87" spans="1:8" ht="12" customHeight="1" x14ac:dyDescent="0.2">
      <c r="A87" s="75"/>
      <c r="B87" s="73"/>
      <c r="C87" s="73"/>
      <c r="D87" s="6" t="s">
        <v>2</v>
      </c>
      <c r="E87" s="29">
        <v>481250</v>
      </c>
    </row>
    <row r="88" spans="1:8" ht="13.9" customHeight="1" thickBot="1" x14ac:dyDescent="0.25">
      <c r="A88" s="76"/>
      <c r="B88" s="20" t="s">
        <v>20</v>
      </c>
      <c r="C88" s="21"/>
      <c r="D88" s="22"/>
      <c r="E88" s="33">
        <f>SUBTOTAL(9,E86:E87)</f>
        <v>490910</v>
      </c>
    </row>
    <row r="89" spans="1:8" ht="12" customHeight="1" x14ac:dyDescent="0.2">
      <c r="A89" s="74" t="s">
        <v>118</v>
      </c>
      <c r="B89" s="72" t="s">
        <v>57</v>
      </c>
      <c r="C89" s="72" t="s">
        <v>41</v>
      </c>
      <c r="D89" s="8" t="s">
        <v>1</v>
      </c>
      <c r="E89" s="28">
        <f>1715056</f>
        <v>1715056</v>
      </c>
    </row>
    <row r="90" spans="1:8" ht="12" customHeight="1" x14ac:dyDescent="0.2">
      <c r="A90" s="75"/>
      <c r="B90" s="73"/>
      <c r="C90" s="73"/>
      <c r="D90" s="23" t="s">
        <v>4</v>
      </c>
      <c r="E90" s="32">
        <f>10400+77000</f>
        <v>87400</v>
      </c>
    </row>
    <row r="91" spans="1:8" ht="13.15" customHeight="1" thickBot="1" x14ac:dyDescent="0.25">
      <c r="A91" s="76"/>
      <c r="B91" s="20" t="s">
        <v>20</v>
      </c>
      <c r="C91" s="21"/>
      <c r="D91" s="22"/>
      <c r="E91" s="33">
        <f>SUBTOTAL(9,E89:E90)</f>
        <v>1802456</v>
      </c>
    </row>
    <row r="92" spans="1:8" ht="12" customHeight="1" x14ac:dyDescent="0.2">
      <c r="A92" s="74" t="s">
        <v>119</v>
      </c>
      <c r="B92" s="72" t="s">
        <v>58</v>
      </c>
      <c r="C92" s="72" t="s">
        <v>41</v>
      </c>
      <c r="D92" s="8" t="s">
        <v>1</v>
      </c>
      <c r="E92" s="28">
        <f>372749</f>
        <v>372749</v>
      </c>
    </row>
    <row r="93" spans="1:8" ht="12" customHeight="1" x14ac:dyDescent="0.2">
      <c r="A93" s="75"/>
      <c r="B93" s="73"/>
      <c r="C93" s="73"/>
      <c r="D93" s="23" t="s">
        <v>4</v>
      </c>
      <c r="E93" s="32">
        <v>10710</v>
      </c>
    </row>
    <row r="94" spans="1:8" ht="13.9" customHeight="1" thickBot="1" x14ac:dyDescent="0.25">
      <c r="A94" s="76"/>
      <c r="B94" s="20" t="s">
        <v>20</v>
      </c>
      <c r="C94" s="21"/>
      <c r="D94" s="22"/>
      <c r="E94" s="33">
        <f>SUBTOTAL(9,E92:E93)</f>
        <v>383459</v>
      </c>
    </row>
    <row r="95" spans="1:8" x14ac:dyDescent="0.2">
      <c r="A95" s="74" t="s">
        <v>120</v>
      </c>
      <c r="B95" s="72" t="s">
        <v>59</v>
      </c>
      <c r="C95" s="72" t="s">
        <v>41</v>
      </c>
      <c r="D95" s="8" t="s">
        <v>1</v>
      </c>
      <c r="E95" s="28">
        <f>1374426</f>
        <v>1374426</v>
      </c>
    </row>
    <row r="96" spans="1:8" ht="12" customHeight="1" x14ac:dyDescent="0.2">
      <c r="A96" s="75"/>
      <c r="B96" s="77"/>
      <c r="C96" s="77"/>
      <c r="D96" s="23" t="s">
        <v>4</v>
      </c>
      <c r="E96" s="32">
        <f>19000</f>
        <v>19000</v>
      </c>
    </row>
    <row r="97" spans="1:9" ht="12" customHeight="1" x14ac:dyDescent="0.2">
      <c r="A97" s="75"/>
      <c r="B97" s="73"/>
      <c r="C97" s="73"/>
      <c r="D97" s="6" t="s">
        <v>36</v>
      </c>
      <c r="E97" s="29">
        <v>48316</v>
      </c>
    </row>
    <row r="98" spans="1:9" ht="13.9" customHeight="1" thickBot="1" x14ac:dyDescent="0.25">
      <c r="A98" s="76"/>
      <c r="B98" s="20" t="s">
        <v>20</v>
      </c>
      <c r="C98" s="21"/>
      <c r="D98" s="22"/>
      <c r="E98" s="33">
        <f>SUBTOTAL(9,E95:E97)</f>
        <v>1441742</v>
      </c>
    </row>
    <row r="99" spans="1:9" ht="12" customHeight="1" x14ac:dyDescent="0.2">
      <c r="A99" s="74" t="s">
        <v>121</v>
      </c>
      <c r="B99" s="72" t="s">
        <v>60</v>
      </c>
      <c r="C99" s="72" t="s">
        <v>41</v>
      </c>
      <c r="D99" s="8" t="s">
        <v>1</v>
      </c>
      <c r="E99" s="28">
        <v>783604</v>
      </c>
    </row>
    <row r="100" spans="1:9" ht="12" customHeight="1" x14ac:dyDescent="0.2">
      <c r="A100" s="75"/>
      <c r="B100" s="77"/>
      <c r="C100" s="77"/>
      <c r="D100" s="6" t="s">
        <v>4</v>
      </c>
      <c r="E100" s="29">
        <v>404720</v>
      </c>
      <c r="I100" s="34"/>
    </row>
    <row r="101" spans="1:9" ht="12" customHeight="1" x14ac:dyDescent="0.2">
      <c r="A101" s="75"/>
      <c r="B101" s="73"/>
      <c r="C101" s="73"/>
      <c r="D101" s="41" t="s">
        <v>43</v>
      </c>
      <c r="E101" s="42">
        <v>12800</v>
      </c>
      <c r="I101" s="34"/>
    </row>
    <row r="102" spans="1:9" ht="13.9" customHeight="1" thickBot="1" x14ac:dyDescent="0.25">
      <c r="A102" s="76"/>
      <c r="B102" s="20" t="s">
        <v>20</v>
      </c>
      <c r="C102" s="21"/>
      <c r="D102" s="22"/>
      <c r="E102" s="33">
        <f>SUBTOTAL(9,E99:E101)</f>
        <v>1201124</v>
      </c>
      <c r="I102" s="34"/>
    </row>
    <row r="103" spans="1:9" ht="12" customHeight="1" x14ac:dyDescent="0.2">
      <c r="A103" s="74" t="s">
        <v>122</v>
      </c>
      <c r="B103" s="72" t="s">
        <v>61</v>
      </c>
      <c r="C103" s="72" t="s">
        <v>41</v>
      </c>
      <c r="D103" s="8" t="s">
        <v>1</v>
      </c>
      <c r="E103" s="28">
        <v>49614</v>
      </c>
    </row>
    <row r="104" spans="1:9" ht="12" customHeight="1" x14ac:dyDescent="0.2">
      <c r="A104" s="75"/>
      <c r="B104" s="73"/>
      <c r="C104" s="73"/>
      <c r="D104" s="6" t="s">
        <v>4</v>
      </c>
      <c r="E104" s="29">
        <v>3780</v>
      </c>
    </row>
    <row r="105" spans="1:9" ht="13.9" customHeight="1" thickBot="1" x14ac:dyDescent="0.25">
      <c r="A105" s="76"/>
      <c r="B105" s="20" t="s">
        <v>20</v>
      </c>
      <c r="C105" s="21"/>
      <c r="D105" s="22"/>
      <c r="E105" s="33">
        <f>SUBTOTAL(9,E103:E104)</f>
        <v>53394</v>
      </c>
    </row>
    <row r="106" spans="1:9" x14ac:dyDescent="0.2">
      <c r="A106" s="74" t="s">
        <v>123</v>
      </c>
      <c r="B106" s="72" t="s">
        <v>67</v>
      </c>
      <c r="C106" s="72" t="s">
        <v>42</v>
      </c>
      <c r="D106" s="8" t="s">
        <v>1</v>
      </c>
      <c r="E106" s="28">
        <f>441412</f>
        <v>441412</v>
      </c>
    </row>
    <row r="107" spans="1:9" ht="12" customHeight="1" x14ac:dyDescent="0.2">
      <c r="A107" s="75"/>
      <c r="B107" s="77"/>
      <c r="C107" s="77"/>
      <c r="D107" s="23" t="s">
        <v>4</v>
      </c>
      <c r="E107" s="32">
        <f>14000</f>
        <v>14000</v>
      </c>
    </row>
    <row r="108" spans="1:9" ht="12" customHeight="1" x14ac:dyDescent="0.2">
      <c r="A108" s="75"/>
      <c r="B108" s="77"/>
      <c r="C108" s="77"/>
      <c r="D108" s="6" t="s">
        <v>3</v>
      </c>
      <c r="E108" s="29">
        <v>1766659</v>
      </c>
    </row>
    <row r="109" spans="1:9" ht="12" customHeight="1" x14ac:dyDescent="0.2">
      <c r="A109" s="75"/>
      <c r="B109" s="73"/>
      <c r="C109" s="73"/>
      <c r="D109" s="6" t="s">
        <v>36</v>
      </c>
      <c r="E109" s="29">
        <v>19676</v>
      </c>
    </row>
    <row r="110" spans="1:9" ht="13.9" customHeight="1" thickBot="1" x14ac:dyDescent="0.25">
      <c r="A110" s="76"/>
      <c r="B110" s="20" t="s">
        <v>20</v>
      </c>
      <c r="C110" s="21"/>
      <c r="D110" s="22"/>
      <c r="E110" s="33">
        <f>SUBTOTAL(9,E106:E109)</f>
        <v>2241747</v>
      </c>
    </row>
    <row r="111" spans="1:9" x14ac:dyDescent="0.2">
      <c r="A111" s="74" t="s">
        <v>124</v>
      </c>
      <c r="B111" s="72" t="s">
        <v>68</v>
      </c>
      <c r="C111" s="72" t="s">
        <v>42</v>
      </c>
      <c r="D111" s="8" t="s">
        <v>1</v>
      </c>
      <c r="E111" s="28">
        <f>530403</f>
        <v>530403</v>
      </c>
    </row>
    <row r="112" spans="1:9" ht="12" customHeight="1" x14ac:dyDescent="0.2">
      <c r="A112" s="75"/>
      <c r="B112" s="77"/>
      <c r="C112" s="77"/>
      <c r="D112" s="23" t="s">
        <v>4</v>
      </c>
      <c r="E112" s="32">
        <f>5700</f>
        <v>5700</v>
      </c>
    </row>
    <row r="113" spans="1:5" ht="12" customHeight="1" x14ac:dyDescent="0.2">
      <c r="A113" s="75"/>
      <c r="B113" s="77"/>
      <c r="C113" s="77"/>
      <c r="D113" s="6" t="s">
        <v>3</v>
      </c>
      <c r="E113" s="29">
        <v>2623073</v>
      </c>
    </row>
    <row r="114" spans="1:5" ht="13.9" customHeight="1" thickBot="1" x14ac:dyDescent="0.25">
      <c r="A114" s="76"/>
      <c r="B114" s="20" t="s">
        <v>20</v>
      </c>
      <c r="C114" s="21"/>
      <c r="D114" s="22"/>
      <c r="E114" s="33">
        <f>SUBTOTAL(9,E111:E113)</f>
        <v>3159176</v>
      </c>
    </row>
    <row r="115" spans="1:5" ht="12" customHeight="1" x14ac:dyDescent="0.2">
      <c r="A115" s="74" t="s">
        <v>125</v>
      </c>
      <c r="B115" s="72" t="s">
        <v>69</v>
      </c>
      <c r="C115" s="72" t="s">
        <v>42</v>
      </c>
      <c r="D115" s="8" t="s">
        <v>1</v>
      </c>
      <c r="E115" s="28">
        <f>549160+196910</f>
        <v>746070</v>
      </c>
    </row>
    <row r="116" spans="1:5" ht="12" customHeight="1" x14ac:dyDescent="0.2">
      <c r="A116" s="75"/>
      <c r="B116" s="77"/>
      <c r="C116" s="77"/>
      <c r="D116" s="23" t="s">
        <v>4</v>
      </c>
      <c r="E116" s="32">
        <f>3190+50500+35500</f>
        <v>89190</v>
      </c>
    </row>
    <row r="117" spans="1:5" ht="12" customHeight="1" x14ac:dyDescent="0.2">
      <c r="A117" s="75"/>
      <c r="B117" s="77"/>
      <c r="C117" s="77"/>
      <c r="D117" s="6" t="s">
        <v>3</v>
      </c>
      <c r="E117" s="29">
        <v>1658442</v>
      </c>
    </row>
    <row r="118" spans="1:5" ht="12" customHeight="1" x14ac:dyDescent="0.2">
      <c r="A118" s="75"/>
      <c r="B118" s="73"/>
      <c r="C118" s="73"/>
      <c r="D118" s="41" t="s">
        <v>36</v>
      </c>
      <c r="E118" s="42">
        <v>29966</v>
      </c>
    </row>
    <row r="119" spans="1:5" ht="13.9" customHeight="1" thickBot="1" x14ac:dyDescent="0.25">
      <c r="A119" s="76"/>
      <c r="B119" s="20" t="s">
        <v>20</v>
      </c>
      <c r="C119" s="21"/>
      <c r="D119" s="22"/>
      <c r="E119" s="33">
        <f>SUBTOTAL(9,E115:E118)</f>
        <v>2523668</v>
      </c>
    </row>
    <row r="120" spans="1:5" x14ac:dyDescent="0.2">
      <c r="A120" s="74" t="s">
        <v>126</v>
      </c>
      <c r="B120" s="72" t="s">
        <v>70</v>
      </c>
      <c r="C120" s="72" t="s">
        <v>42</v>
      </c>
      <c r="D120" s="8" t="s">
        <v>1</v>
      </c>
      <c r="E120" s="28">
        <f>477676+308802</f>
        <v>786478</v>
      </c>
    </row>
    <row r="121" spans="1:5" ht="12" customHeight="1" x14ac:dyDescent="0.2">
      <c r="A121" s="75"/>
      <c r="B121" s="77"/>
      <c r="C121" s="77"/>
      <c r="D121" s="23" t="s">
        <v>4</v>
      </c>
      <c r="E121" s="32">
        <f>960+3000+51000</f>
        <v>54960</v>
      </c>
    </row>
    <row r="122" spans="1:5" ht="12" customHeight="1" x14ac:dyDescent="0.2">
      <c r="A122" s="75"/>
      <c r="B122" s="77"/>
      <c r="C122" s="77"/>
      <c r="D122" s="6" t="s">
        <v>3</v>
      </c>
      <c r="E122" s="29">
        <v>1548327</v>
      </c>
    </row>
    <row r="123" spans="1:5" ht="12" customHeight="1" x14ac:dyDescent="0.2">
      <c r="A123" s="75"/>
      <c r="B123" s="73"/>
      <c r="C123" s="73"/>
      <c r="D123" s="41" t="s">
        <v>36</v>
      </c>
      <c r="E123" s="42">
        <v>9085</v>
      </c>
    </row>
    <row r="124" spans="1:5" ht="13.9" customHeight="1" thickBot="1" x14ac:dyDescent="0.25">
      <c r="A124" s="76"/>
      <c r="B124" s="20" t="s">
        <v>20</v>
      </c>
      <c r="C124" s="21"/>
      <c r="D124" s="22"/>
      <c r="E124" s="33">
        <f>SUBTOTAL(9,E120:E123)</f>
        <v>2398850</v>
      </c>
    </row>
    <row r="125" spans="1:5" ht="12" customHeight="1" x14ac:dyDescent="0.2">
      <c r="A125" s="74" t="s">
        <v>127</v>
      </c>
      <c r="B125" s="72" t="s">
        <v>71</v>
      </c>
      <c r="C125" s="72" t="s">
        <v>42</v>
      </c>
      <c r="D125" s="8" t="s">
        <v>1</v>
      </c>
      <c r="E125" s="28">
        <f>615775+156962</f>
        <v>772737</v>
      </c>
    </row>
    <row r="126" spans="1:5" ht="12" customHeight="1" x14ac:dyDescent="0.2">
      <c r="A126" s="75"/>
      <c r="B126" s="77"/>
      <c r="C126" s="77"/>
      <c r="D126" s="23" t="s">
        <v>4</v>
      </c>
      <c r="E126" s="32">
        <f>8390+45000+7700</f>
        <v>61090</v>
      </c>
    </row>
    <row r="127" spans="1:5" ht="12" customHeight="1" x14ac:dyDescent="0.2">
      <c r="A127" s="75"/>
      <c r="B127" s="77"/>
      <c r="C127" s="77"/>
      <c r="D127" s="6" t="s">
        <v>3</v>
      </c>
      <c r="E127" s="29">
        <v>1825363</v>
      </c>
    </row>
    <row r="128" spans="1:5" ht="12" customHeight="1" x14ac:dyDescent="0.2">
      <c r="A128" s="75"/>
      <c r="B128" s="73"/>
      <c r="C128" s="73"/>
      <c r="D128" s="41" t="s">
        <v>36</v>
      </c>
      <c r="E128" s="42">
        <v>5404</v>
      </c>
    </row>
    <row r="129" spans="1:5" ht="13.9" customHeight="1" thickBot="1" x14ac:dyDescent="0.25">
      <c r="A129" s="76"/>
      <c r="B129" s="20" t="s">
        <v>20</v>
      </c>
      <c r="C129" s="21"/>
      <c r="D129" s="22"/>
      <c r="E129" s="33">
        <f>SUBTOTAL(9,E125:E128)</f>
        <v>2664594</v>
      </c>
    </row>
    <row r="130" spans="1:5" ht="12" customHeight="1" x14ac:dyDescent="0.2">
      <c r="A130" s="74" t="s">
        <v>128</v>
      </c>
      <c r="B130" s="72" t="s">
        <v>72</v>
      </c>
      <c r="C130" s="72" t="s">
        <v>42</v>
      </c>
      <c r="D130" s="8" t="s">
        <v>1</v>
      </c>
      <c r="E130" s="28">
        <f>267752+222785</f>
        <v>490537</v>
      </c>
    </row>
    <row r="131" spans="1:5" ht="12" customHeight="1" x14ac:dyDescent="0.2">
      <c r="A131" s="75"/>
      <c r="B131" s="77"/>
      <c r="C131" s="77"/>
      <c r="D131" s="6" t="s">
        <v>4</v>
      </c>
      <c r="E131" s="29">
        <f>270+2000+25000</f>
        <v>27270</v>
      </c>
    </row>
    <row r="132" spans="1:5" ht="12" customHeight="1" x14ac:dyDescent="0.2">
      <c r="A132" s="75"/>
      <c r="B132" s="77"/>
      <c r="C132" s="77"/>
      <c r="D132" s="23" t="s">
        <v>3</v>
      </c>
      <c r="E132" s="32">
        <v>1198144</v>
      </c>
    </row>
    <row r="133" spans="1:5" ht="12" customHeight="1" x14ac:dyDescent="0.2">
      <c r="A133" s="75"/>
      <c r="B133" s="73"/>
      <c r="C133" s="73"/>
      <c r="D133" s="43" t="s">
        <v>36</v>
      </c>
      <c r="E133" s="45">
        <v>2850</v>
      </c>
    </row>
    <row r="134" spans="1:5" ht="13.9" customHeight="1" thickBot="1" x14ac:dyDescent="0.25">
      <c r="A134" s="76"/>
      <c r="B134" s="20" t="s">
        <v>20</v>
      </c>
      <c r="C134" s="21"/>
      <c r="D134" s="22"/>
      <c r="E134" s="33">
        <f>SUBTOTAL(9,E130:E133)</f>
        <v>1718801</v>
      </c>
    </row>
    <row r="135" spans="1:5" ht="12" customHeight="1" x14ac:dyDescent="0.2">
      <c r="A135" s="74" t="s">
        <v>129</v>
      </c>
      <c r="B135" s="72" t="s">
        <v>73</v>
      </c>
      <c r="C135" s="72" t="s">
        <v>42</v>
      </c>
      <c r="D135" s="8" t="s">
        <v>1</v>
      </c>
      <c r="E135" s="28">
        <f>414049</f>
        <v>414049</v>
      </c>
    </row>
    <row r="136" spans="1:5" ht="12" customHeight="1" x14ac:dyDescent="0.2">
      <c r="A136" s="75"/>
      <c r="B136" s="77"/>
      <c r="C136" s="77"/>
      <c r="D136" s="23" t="s">
        <v>4</v>
      </c>
      <c r="E136" s="32">
        <f>1520+25000</f>
        <v>26520</v>
      </c>
    </row>
    <row r="137" spans="1:5" ht="12" customHeight="1" x14ac:dyDescent="0.2">
      <c r="A137" s="75"/>
      <c r="B137" s="77"/>
      <c r="C137" s="77"/>
      <c r="D137" s="6" t="s">
        <v>3</v>
      </c>
      <c r="E137" s="29">
        <f>699757</f>
        <v>699757</v>
      </c>
    </row>
    <row r="138" spans="1:5" ht="12" customHeight="1" x14ac:dyDescent="0.2">
      <c r="A138" s="75"/>
      <c r="B138" s="73"/>
      <c r="C138" s="73"/>
      <c r="D138" s="41" t="s">
        <v>36</v>
      </c>
      <c r="E138" s="42">
        <v>2227</v>
      </c>
    </row>
    <row r="139" spans="1:5" ht="13.9" customHeight="1" thickBot="1" x14ac:dyDescent="0.25">
      <c r="A139" s="76"/>
      <c r="B139" s="20" t="s">
        <v>20</v>
      </c>
      <c r="C139" s="21"/>
      <c r="D139" s="22"/>
      <c r="E139" s="33">
        <f>SUBTOTAL(9,E135:E138)</f>
        <v>1142553</v>
      </c>
    </row>
    <row r="140" spans="1:5" ht="12" customHeight="1" x14ac:dyDescent="0.2">
      <c r="A140" s="74" t="s">
        <v>130</v>
      </c>
      <c r="B140" s="72" t="s">
        <v>74</v>
      </c>
      <c r="C140" s="72" t="s">
        <v>42</v>
      </c>
      <c r="D140" s="8" t="s">
        <v>1</v>
      </c>
      <c r="E140" s="28">
        <f>413050</f>
        <v>413050</v>
      </c>
    </row>
    <row r="141" spans="1:5" ht="12" customHeight="1" x14ac:dyDescent="0.2">
      <c r="A141" s="75"/>
      <c r="B141" s="77"/>
      <c r="C141" s="77"/>
      <c r="D141" s="23" t="s">
        <v>4</v>
      </c>
      <c r="E141" s="32">
        <f>1460+23400</f>
        <v>24860</v>
      </c>
    </row>
    <row r="142" spans="1:5" ht="12" customHeight="1" x14ac:dyDescent="0.2">
      <c r="A142" s="75"/>
      <c r="B142" s="77"/>
      <c r="C142" s="77"/>
      <c r="D142" s="6" t="s">
        <v>3</v>
      </c>
      <c r="E142" s="29">
        <f>779937</f>
        <v>779937</v>
      </c>
    </row>
    <row r="143" spans="1:5" ht="12" customHeight="1" x14ac:dyDescent="0.2">
      <c r="A143" s="75"/>
      <c r="B143" s="73"/>
      <c r="C143" s="73"/>
      <c r="D143" s="41" t="s">
        <v>36</v>
      </c>
      <c r="E143" s="42">
        <v>3652</v>
      </c>
    </row>
    <row r="144" spans="1:5" ht="13.9" customHeight="1" thickBot="1" x14ac:dyDescent="0.25">
      <c r="A144" s="76"/>
      <c r="B144" s="20" t="s">
        <v>20</v>
      </c>
      <c r="C144" s="21"/>
      <c r="D144" s="22"/>
      <c r="E144" s="33">
        <f>SUBTOTAL(9,E140:E143)</f>
        <v>1221499</v>
      </c>
    </row>
    <row r="145" spans="1:5" ht="12" customHeight="1" x14ac:dyDescent="0.2">
      <c r="A145" s="74" t="s">
        <v>131</v>
      </c>
      <c r="B145" s="72" t="s">
        <v>75</v>
      </c>
      <c r="C145" s="72" t="s">
        <v>42</v>
      </c>
      <c r="D145" s="8" t="s">
        <v>1</v>
      </c>
      <c r="E145" s="28">
        <f>330048</f>
        <v>330048</v>
      </c>
    </row>
    <row r="146" spans="1:5" ht="12" customHeight="1" x14ac:dyDescent="0.2">
      <c r="A146" s="75"/>
      <c r="B146" s="77"/>
      <c r="C146" s="77"/>
      <c r="D146" s="23" t="s">
        <v>4</v>
      </c>
      <c r="E146" s="32">
        <f>20800</f>
        <v>20800</v>
      </c>
    </row>
    <row r="147" spans="1:5" ht="12" customHeight="1" x14ac:dyDescent="0.2">
      <c r="A147" s="75"/>
      <c r="B147" s="77"/>
      <c r="C147" s="77"/>
      <c r="D147" s="6" t="s">
        <v>3</v>
      </c>
      <c r="E147" s="29">
        <f>644227</f>
        <v>644227</v>
      </c>
    </row>
    <row r="148" spans="1:5" ht="12" customHeight="1" x14ac:dyDescent="0.2">
      <c r="A148" s="75"/>
      <c r="B148" s="73"/>
      <c r="C148" s="73"/>
      <c r="D148" s="41" t="s">
        <v>36</v>
      </c>
      <c r="E148" s="42">
        <v>5314</v>
      </c>
    </row>
    <row r="149" spans="1:5" ht="13.9" customHeight="1" thickBot="1" x14ac:dyDescent="0.25">
      <c r="A149" s="76"/>
      <c r="B149" s="20" t="s">
        <v>20</v>
      </c>
      <c r="C149" s="21"/>
      <c r="D149" s="22"/>
      <c r="E149" s="33">
        <f>SUBTOTAL(9,E145:E148)</f>
        <v>1000389</v>
      </c>
    </row>
    <row r="150" spans="1:5" ht="12" customHeight="1" x14ac:dyDescent="0.2">
      <c r="A150" s="74" t="s">
        <v>132</v>
      </c>
      <c r="B150" s="72" t="s">
        <v>76</v>
      </c>
      <c r="C150" s="72" t="s">
        <v>42</v>
      </c>
      <c r="D150" s="8" t="s">
        <v>1</v>
      </c>
      <c r="E150" s="28">
        <f>234049</f>
        <v>234049</v>
      </c>
    </row>
    <row r="151" spans="1:5" ht="12" customHeight="1" x14ac:dyDescent="0.2">
      <c r="A151" s="75"/>
      <c r="B151" s="77"/>
      <c r="C151" s="77"/>
      <c r="D151" s="23" t="s">
        <v>4</v>
      </c>
      <c r="E151" s="32">
        <f>6040+25600</f>
        <v>31640</v>
      </c>
    </row>
    <row r="152" spans="1:5" ht="12" customHeight="1" x14ac:dyDescent="0.2">
      <c r="A152" s="75"/>
      <c r="B152" s="77"/>
      <c r="C152" s="77"/>
      <c r="D152" s="6" t="s">
        <v>3</v>
      </c>
      <c r="E152" s="29">
        <f>381179</f>
        <v>381179</v>
      </c>
    </row>
    <row r="153" spans="1:5" ht="12" customHeight="1" x14ac:dyDescent="0.2">
      <c r="A153" s="75"/>
      <c r="B153" s="73"/>
      <c r="C153" s="73"/>
      <c r="D153" s="41" t="s">
        <v>36</v>
      </c>
      <c r="E153" s="42">
        <v>1781</v>
      </c>
    </row>
    <row r="154" spans="1:5" ht="13.9" customHeight="1" thickBot="1" x14ac:dyDescent="0.25">
      <c r="A154" s="76"/>
      <c r="B154" s="20" t="s">
        <v>20</v>
      </c>
      <c r="C154" s="21"/>
      <c r="D154" s="22"/>
      <c r="E154" s="33">
        <f>SUBTOTAL(9,E150:E153)</f>
        <v>648649</v>
      </c>
    </row>
    <row r="155" spans="1:5" ht="12" customHeight="1" x14ac:dyDescent="0.2">
      <c r="A155" s="74" t="s">
        <v>133</v>
      </c>
      <c r="B155" s="72" t="s">
        <v>77</v>
      </c>
      <c r="C155" s="72" t="s">
        <v>42</v>
      </c>
      <c r="D155" s="8" t="s">
        <v>1</v>
      </c>
      <c r="E155" s="28">
        <f>732044</f>
        <v>732044</v>
      </c>
    </row>
    <row r="156" spans="1:5" ht="12" customHeight="1" x14ac:dyDescent="0.2">
      <c r="A156" s="75"/>
      <c r="B156" s="77"/>
      <c r="C156" s="77"/>
      <c r="D156" s="23" t="s">
        <v>4</v>
      </c>
      <c r="E156" s="32">
        <f>11320+90000</f>
        <v>101320</v>
      </c>
    </row>
    <row r="157" spans="1:5" ht="12" customHeight="1" x14ac:dyDescent="0.2">
      <c r="A157" s="75"/>
      <c r="B157" s="77"/>
      <c r="C157" s="77"/>
      <c r="D157" s="6" t="s">
        <v>3</v>
      </c>
      <c r="E157" s="29">
        <v>1398080</v>
      </c>
    </row>
    <row r="158" spans="1:5" ht="12" customHeight="1" x14ac:dyDescent="0.2">
      <c r="A158" s="75"/>
      <c r="B158" s="73"/>
      <c r="C158" s="73"/>
      <c r="D158" s="41" t="s">
        <v>36</v>
      </c>
      <c r="E158" s="42">
        <v>40708</v>
      </c>
    </row>
    <row r="159" spans="1:5" ht="13.9" customHeight="1" thickBot="1" x14ac:dyDescent="0.25">
      <c r="A159" s="76"/>
      <c r="B159" s="20" t="s">
        <v>20</v>
      </c>
      <c r="C159" s="21"/>
      <c r="D159" s="22"/>
      <c r="E159" s="33">
        <f>SUBTOTAL(9,E155:E158)</f>
        <v>2272152</v>
      </c>
    </row>
    <row r="160" spans="1:5" ht="12" customHeight="1" x14ac:dyDescent="0.2">
      <c r="A160" s="74" t="s">
        <v>134</v>
      </c>
      <c r="B160" s="72" t="s">
        <v>78</v>
      </c>
      <c r="C160" s="72" t="s">
        <v>42</v>
      </c>
      <c r="D160" s="8" t="s">
        <v>1</v>
      </c>
      <c r="E160" s="28">
        <f>518199</f>
        <v>518199</v>
      </c>
    </row>
    <row r="161" spans="1:5" ht="12" customHeight="1" x14ac:dyDescent="0.2">
      <c r="A161" s="75"/>
      <c r="B161" s="77"/>
      <c r="C161" s="77"/>
      <c r="D161" s="6" t="s">
        <v>4</v>
      </c>
      <c r="E161" s="29">
        <f>960+101500</f>
        <v>102460</v>
      </c>
    </row>
    <row r="162" spans="1:5" ht="12" customHeight="1" x14ac:dyDescent="0.2">
      <c r="A162" s="75"/>
      <c r="B162" s="77"/>
      <c r="C162" s="77"/>
      <c r="D162" s="23" t="s">
        <v>3</v>
      </c>
      <c r="E162" s="32">
        <v>524382</v>
      </c>
    </row>
    <row r="163" spans="1:5" ht="12" customHeight="1" x14ac:dyDescent="0.2">
      <c r="A163" s="75"/>
      <c r="B163" s="73"/>
      <c r="C163" s="73"/>
      <c r="D163" s="43" t="s">
        <v>36</v>
      </c>
      <c r="E163" s="45">
        <v>13153</v>
      </c>
    </row>
    <row r="164" spans="1:5" ht="13.9" customHeight="1" thickBot="1" x14ac:dyDescent="0.25">
      <c r="A164" s="76"/>
      <c r="B164" s="20" t="s">
        <v>20</v>
      </c>
      <c r="C164" s="21"/>
      <c r="D164" s="22"/>
      <c r="E164" s="33">
        <f>SUBTOTAL(9,E160:E163)</f>
        <v>1158194</v>
      </c>
    </row>
    <row r="165" spans="1:5" ht="12" customHeight="1" x14ac:dyDescent="0.2">
      <c r="A165" s="74" t="s">
        <v>135</v>
      </c>
      <c r="B165" s="72" t="s">
        <v>79</v>
      </c>
      <c r="C165" s="72" t="s">
        <v>42</v>
      </c>
      <c r="D165" s="8" t="s">
        <v>1</v>
      </c>
      <c r="E165" s="28">
        <f>579328</f>
        <v>579328</v>
      </c>
    </row>
    <row r="166" spans="1:5" ht="12" customHeight="1" x14ac:dyDescent="0.2">
      <c r="A166" s="75"/>
      <c r="B166" s="77"/>
      <c r="C166" s="77"/>
      <c r="D166" s="6" t="s">
        <v>4</v>
      </c>
      <c r="E166" s="29">
        <f>7680+116100</f>
        <v>123780</v>
      </c>
    </row>
    <row r="167" spans="1:5" ht="12" customHeight="1" x14ac:dyDescent="0.2">
      <c r="A167" s="75"/>
      <c r="B167" s="77"/>
      <c r="C167" s="77"/>
      <c r="D167" s="6" t="s">
        <v>3</v>
      </c>
      <c r="E167" s="29">
        <v>744669</v>
      </c>
    </row>
    <row r="168" spans="1:5" ht="12" customHeight="1" x14ac:dyDescent="0.2">
      <c r="A168" s="75"/>
      <c r="B168" s="73"/>
      <c r="C168" s="73"/>
      <c r="D168" s="41" t="s">
        <v>36</v>
      </c>
      <c r="E168" s="42">
        <v>18111</v>
      </c>
    </row>
    <row r="169" spans="1:5" ht="13.9" customHeight="1" thickBot="1" x14ac:dyDescent="0.25">
      <c r="A169" s="76"/>
      <c r="B169" s="20" t="s">
        <v>20</v>
      </c>
      <c r="C169" s="21"/>
      <c r="D169" s="22"/>
      <c r="E169" s="33">
        <f>SUBTOTAL(9,E165:E168)</f>
        <v>1465888</v>
      </c>
    </row>
    <row r="170" spans="1:5" ht="12" customHeight="1" x14ac:dyDescent="0.2">
      <c r="A170" s="74" t="s">
        <v>136</v>
      </c>
      <c r="B170" s="72" t="s">
        <v>80</v>
      </c>
      <c r="C170" s="72" t="s">
        <v>42</v>
      </c>
      <c r="D170" s="8" t="s">
        <v>1</v>
      </c>
      <c r="E170" s="28">
        <f>574289</f>
        <v>574289</v>
      </c>
    </row>
    <row r="171" spans="1:5" ht="12" customHeight="1" x14ac:dyDescent="0.2">
      <c r="A171" s="75"/>
      <c r="B171" s="77"/>
      <c r="C171" s="77"/>
      <c r="D171" s="6" t="s">
        <v>4</v>
      </c>
      <c r="E171" s="32">
        <f>10140+112900</f>
        <v>123040</v>
      </c>
    </row>
    <row r="172" spans="1:5" ht="12" customHeight="1" x14ac:dyDescent="0.2">
      <c r="A172" s="75"/>
      <c r="B172" s="77"/>
      <c r="C172" s="77"/>
      <c r="D172" s="6" t="s">
        <v>3</v>
      </c>
      <c r="E172" s="29">
        <v>717125</v>
      </c>
    </row>
    <row r="173" spans="1:5" ht="12" customHeight="1" x14ac:dyDescent="0.2">
      <c r="A173" s="75"/>
      <c r="B173" s="73"/>
      <c r="C173" s="73"/>
      <c r="D173" s="41" t="s">
        <v>36</v>
      </c>
      <c r="E173" s="42">
        <v>15172</v>
      </c>
    </row>
    <row r="174" spans="1:5" ht="13.9" customHeight="1" thickBot="1" x14ac:dyDescent="0.25">
      <c r="A174" s="76"/>
      <c r="B174" s="20" t="s">
        <v>20</v>
      </c>
      <c r="C174" s="21"/>
      <c r="D174" s="22"/>
      <c r="E174" s="33">
        <f>SUBTOTAL(9,E170:E173)</f>
        <v>1429626</v>
      </c>
    </row>
    <row r="175" spans="1:5" ht="12" customHeight="1" x14ac:dyDescent="0.2">
      <c r="A175" s="74" t="s">
        <v>137</v>
      </c>
      <c r="B175" s="72" t="s">
        <v>81</v>
      </c>
      <c r="C175" s="72" t="s">
        <v>42</v>
      </c>
      <c r="D175" s="8" t="s">
        <v>1</v>
      </c>
      <c r="E175" s="28">
        <f>390432</f>
        <v>390432</v>
      </c>
    </row>
    <row r="176" spans="1:5" ht="12" customHeight="1" x14ac:dyDescent="0.2">
      <c r="A176" s="75"/>
      <c r="B176" s="77"/>
      <c r="C176" s="77"/>
      <c r="D176" s="6" t="s">
        <v>4</v>
      </c>
      <c r="E176" s="32">
        <f>68000</f>
        <v>68000</v>
      </c>
    </row>
    <row r="177" spans="1:5" ht="12" customHeight="1" x14ac:dyDescent="0.2">
      <c r="A177" s="75"/>
      <c r="B177" s="77"/>
      <c r="C177" s="77"/>
      <c r="D177" s="6" t="s">
        <v>3</v>
      </c>
      <c r="E177" s="29">
        <v>616392</v>
      </c>
    </row>
    <row r="178" spans="1:5" ht="12" customHeight="1" x14ac:dyDescent="0.2">
      <c r="A178" s="75"/>
      <c r="B178" s="73"/>
      <c r="C178" s="73"/>
      <c r="D178" s="41" t="s">
        <v>36</v>
      </c>
      <c r="E178" s="42">
        <v>9352</v>
      </c>
    </row>
    <row r="179" spans="1:5" ht="13.9" customHeight="1" thickBot="1" x14ac:dyDescent="0.25">
      <c r="A179" s="76"/>
      <c r="B179" s="20" t="s">
        <v>20</v>
      </c>
      <c r="C179" s="21"/>
      <c r="D179" s="22"/>
      <c r="E179" s="33">
        <f>SUBTOTAL(9,E175:E178)</f>
        <v>1084176</v>
      </c>
    </row>
    <row r="180" spans="1:5" ht="12" customHeight="1" x14ac:dyDescent="0.2">
      <c r="A180" s="74" t="s">
        <v>138</v>
      </c>
      <c r="B180" s="72" t="s">
        <v>82</v>
      </c>
      <c r="C180" s="72" t="s">
        <v>42</v>
      </c>
      <c r="D180" s="8" t="s">
        <v>1</v>
      </c>
      <c r="E180" s="28">
        <f>558361</f>
        <v>558361</v>
      </c>
    </row>
    <row r="181" spans="1:5" ht="12" customHeight="1" x14ac:dyDescent="0.2">
      <c r="A181" s="75"/>
      <c r="B181" s="77"/>
      <c r="C181" s="77"/>
      <c r="D181" s="6" t="s">
        <v>4</v>
      </c>
      <c r="E181" s="29">
        <f>4050+34200</f>
        <v>38250</v>
      </c>
    </row>
    <row r="182" spans="1:5" ht="12" customHeight="1" x14ac:dyDescent="0.2">
      <c r="A182" s="75"/>
      <c r="B182" s="77"/>
      <c r="C182" s="77"/>
      <c r="D182" s="6" t="s">
        <v>3</v>
      </c>
      <c r="E182" s="32">
        <v>237581</v>
      </c>
    </row>
    <row r="183" spans="1:5" ht="12" customHeight="1" x14ac:dyDescent="0.2">
      <c r="A183" s="75"/>
      <c r="B183" s="73"/>
      <c r="C183" s="73"/>
      <c r="D183" s="41" t="s">
        <v>36</v>
      </c>
      <c r="E183" s="45">
        <v>123679</v>
      </c>
    </row>
    <row r="184" spans="1:5" ht="13.9" customHeight="1" thickBot="1" x14ac:dyDescent="0.25">
      <c r="A184" s="76"/>
      <c r="B184" s="20" t="s">
        <v>20</v>
      </c>
      <c r="C184" s="21"/>
      <c r="D184" s="22"/>
      <c r="E184" s="33">
        <f>SUBTOTAL(9,E180:E183)</f>
        <v>957871</v>
      </c>
    </row>
    <row r="185" spans="1:5" ht="12" customHeight="1" x14ac:dyDescent="0.2">
      <c r="A185" s="74" t="s">
        <v>139</v>
      </c>
      <c r="B185" s="72" t="s">
        <v>83</v>
      </c>
      <c r="C185" s="72" t="s">
        <v>42</v>
      </c>
      <c r="D185" s="8" t="s">
        <v>1</v>
      </c>
      <c r="E185" s="28">
        <f>683127+517632</f>
        <v>1200759</v>
      </c>
    </row>
    <row r="186" spans="1:5" ht="12" customHeight="1" x14ac:dyDescent="0.2">
      <c r="A186" s="75"/>
      <c r="B186" s="77"/>
      <c r="C186" s="77"/>
      <c r="D186" s="6" t="s">
        <v>4</v>
      </c>
      <c r="E186" s="29">
        <v>453100</v>
      </c>
    </row>
    <row r="187" spans="1:5" ht="12" customHeight="1" x14ac:dyDescent="0.2">
      <c r="A187" s="75"/>
      <c r="B187" s="77"/>
      <c r="C187" s="77"/>
      <c r="D187" s="6" t="s">
        <v>3</v>
      </c>
      <c r="E187" s="32">
        <f>59304</f>
        <v>59304</v>
      </c>
    </row>
    <row r="188" spans="1:5" ht="12" customHeight="1" x14ac:dyDescent="0.2">
      <c r="A188" s="75"/>
      <c r="B188" s="73"/>
      <c r="C188" s="73"/>
      <c r="D188" s="41" t="s">
        <v>36</v>
      </c>
      <c r="E188" s="45">
        <v>46731</v>
      </c>
    </row>
    <row r="189" spans="1:5" ht="13.9" customHeight="1" thickBot="1" x14ac:dyDescent="0.25">
      <c r="A189" s="76"/>
      <c r="B189" s="20" t="s">
        <v>20</v>
      </c>
      <c r="C189" s="21"/>
      <c r="D189" s="22"/>
      <c r="E189" s="33">
        <f>SUBTOTAL(9,E185:E188)</f>
        <v>1759894</v>
      </c>
    </row>
    <row r="190" spans="1:5" ht="12" customHeight="1" x14ac:dyDescent="0.2">
      <c r="A190" s="74" t="s">
        <v>140</v>
      </c>
      <c r="B190" s="72" t="s">
        <v>84</v>
      </c>
      <c r="C190" s="72" t="s">
        <v>42</v>
      </c>
      <c r="D190" s="8" t="s">
        <v>1</v>
      </c>
      <c r="E190" s="28">
        <f>1169565</f>
        <v>1169565</v>
      </c>
    </row>
    <row r="191" spans="1:5" ht="12" customHeight="1" x14ac:dyDescent="0.2">
      <c r="A191" s="75"/>
      <c r="B191" s="77"/>
      <c r="C191" s="77"/>
      <c r="D191" s="6" t="s">
        <v>4</v>
      </c>
      <c r="E191" s="29">
        <f>29590+104000</f>
        <v>133590</v>
      </c>
    </row>
    <row r="192" spans="1:5" ht="12" customHeight="1" x14ac:dyDescent="0.2">
      <c r="A192" s="75"/>
      <c r="B192" s="77"/>
      <c r="C192" s="77"/>
      <c r="D192" s="6" t="s">
        <v>3</v>
      </c>
      <c r="E192" s="29">
        <f>40868</f>
        <v>40868</v>
      </c>
    </row>
    <row r="193" spans="1:9" ht="12" customHeight="1" x14ac:dyDescent="0.2">
      <c r="A193" s="75"/>
      <c r="B193" s="73"/>
      <c r="C193" s="73"/>
      <c r="D193" s="41" t="s">
        <v>36</v>
      </c>
      <c r="E193" s="42">
        <v>114395</v>
      </c>
    </row>
    <row r="194" spans="1:9" ht="13.9" customHeight="1" thickBot="1" x14ac:dyDescent="0.25">
      <c r="A194" s="76"/>
      <c r="B194" s="20" t="s">
        <v>20</v>
      </c>
      <c r="C194" s="21"/>
      <c r="D194" s="22"/>
      <c r="E194" s="33">
        <f>SUBTOTAL(9,E190:E193)</f>
        <v>1458418</v>
      </c>
    </row>
    <row r="195" spans="1:9" ht="12" customHeight="1" x14ac:dyDescent="0.2">
      <c r="A195" s="74" t="s">
        <v>141</v>
      </c>
      <c r="B195" s="72" t="s">
        <v>85</v>
      </c>
      <c r="C195" s="72" t="s">
        <v>42</v>
      </c>
      <c r="D195" s="8" t="s">
        <v>1</v>
      </c>
      <c r="E195" s="28">
        <f>393392</f>
        <v>393392</v>
      </c>
      <c r="I195" s="34"/>
    </row>
    <row r="196" spans="1:9" ht="12" customHeight="1" x14ac:dyDescent="0.2">
      <c r="A196" s="75"/>
      <c r="B196" s="77"/>
      <c r="C196" s="77"/>
      <c r="D196" s="6" t="s">
        <v>4</v>
      </c>
      <c r="E196" s="29">
        <f>18270+21000</f>
        <v>39270</v>
      </c>
      <c r="I196" s="34"/>
    </row>
    <row r="197" spans="1:9" ht="12" customHeight="1" x14ac:dyDescent="0.2">
      <c r="A197" s="75"/>
      <c r="B197" s="77"/>
      <c r="C197" s="77"/>
      <c r="D197" s="6" t="s">
        <v>3</v>
      </c>
      <c r="E197" s="32">
        <f>17899</f>
        <v>17899</v>
      </c>
      <c r="I197" s="34"/>
    </row>
    <row r="198" spans="1:9" ht="12" customHeight="1" x14ac:dyDescent="0.2">
      <c r="A198" s="75"/>
      <c r="B198" s="73"/>
      <c r="C198" s="73"/>
      <c r="D198" s="41" t="s">
        <v>36</v>
      </c>
      <c r="E198" s="45">
        <v>33253</v>
      </c>
      <c r="I198" s="34"/>
    </row>
    <row r="199" spans="1:9" ht="11.45" customHeight="1" thickBot="1" x14ac:dyDescent="0.25">
      <c r="A199" s="76"/>
      <c r="B199" s="20" t="s">
        <v>20</v>
      </c>
      <c r="C199" s="21"/>
      <c r="D199" s="22"/>
      <c r="E199" s="33">
        <f>SUBTOTAL(9,E195:E198)</f>
        <v>483814</v>
      </c>
    </row>
    <row r="200" spans="1:9" ht="12" customHeight="1" x14ac:dyDescent="0.2">
      <c r="A200" s="74" t="s">
        <v>142</v>
      </c>
      <c r="B200" s="72" t="s">
        <v>62</v>
      </c>
      <c r="C200" s="72" t="s">
        <v>44</v>
      </c>
      <c r="D200" s="8" t="s">
        <v>1</v>
      </c>
      <c r="E200" s="28">
        <v>1157087</v>
      </c>
    </row>
    <row r="201" spans="1:9" ht="12" customHeight="1" x14ac:dyDescent="0.2">
      <c r="A201" s="75"/>
      <c r="B201" s="77"/>
      <c r="C201" s="77"/>
      <c r="D201" s="6" t="s">
        <v>4</v>
      </c>
      <c r="E201" s="29">
        <f>63400</f>
        <v>63400</v>
      </c>
    </row>
    <row r="202" spans="1:9" ht="12" customHeight="1" x14ac:dyDescent="0.2">
      <c r="A202" s="75"/>
      <c r="B202" s="73"/>
      <c r="C202" s="73"/>
      <c r="D202" s="6" t="s">
        <v>36</v>
      </c>
      <c r="E202" s="29">
        <f>15600+14348</f>
        <v>29948</v>
      </c>
    </row>
    <row r="203" spans="1:9" ht="13.9" customHeight="1" thickBot="1" x14ac:dyDescent="0.25">
      <c r="A203" s="76"/>
      <c r="B203" s="20" t="s">
        <v>20</v>
      </c>
      <c r="C203" s="21"/>
      <c r="D203" s="22"/>
      <c r="E203" s="33">
        <f>SUBTOTAL(9,E200:E202)</f>
        <v>1250435</v>
      </c>
    </row>
    <row r="204" spans="1:9" ht="12" customHeight="1" x14ac:dyDescent="0.2">
      <c r="A204" s="74" t="s">
        <v>143</v>
      </c>
      <c r="B204" s="72" t="s">
        <v>63</v>
      </c>
      <c r="C204" s="72" t="s">
        <v>44</v>
      </c>
      <c r="D204" s="8" t="s">
        <v>1</v>
      </c>
      <c r="E204" s="28">
        <f>2130030</f>
        <v>2130030</v>
      </c>
    </row>
    <row r="205" spans="1:9" ht="12" customHeight="1" x14ac:dyDescent="0.2">
      <c r="A205" s="75"/>
      <c r="B205" s="77"/>
      <c r="C205" s="77"/>
      <c r="D205" s="6" t="s">
        <v>4</v>
      </c>
      <c r="E205" s="29">
        <f>36970+136000</f>
        <v>172970</v>
      </c>
    </row>
    <row r="206" spans="1:9" ht="12" customHeight="1" x14ac:dyDescent="0.2">
      <c r="A206" s="75"/>
      <c r="B206" s="77"/>
      <c r="C206" s="77"/>
      <c r="D206" s="6" t="s">
        <v>2</v>
      </c>
      <c r="E206" s="29">
        <f>480700</f>
        <v>480700</v>
      </c>
    </row>
    <row r="207" spans="1:9" ht="12" customHeight="1" x14ac:dyDescent="0.2">
      <c r="A207" s="75"/>
      <c r="B207" s="77"/>
      <c r="C207" s="77"/>
      <c r="D207" s="6" t="s">
        <v>36</v>
      </c>
      <c r="E207" s="29">
        <f>59002+41454</f>
        <v>100456</v>
      </c>
    </row>
    <row r="208" spans="1:9" ht="12" customHeight="1" x14ac:dyDescent="0.2">
      <c r="A208" s="75"/>
      <c r="B208" s="77"/>
      <c r="C208" s="77"/>
      <c r="D208" s="41" t="s">
        <v>43</v>
      </c>
      <c r="E208" s="42">
        <v>14866</v>
      </c>
    </row>
    <row r="209" spans="1:5" ht="12" customHeight="1" x14ac:dyDescent="0.2">
      <c r="A209" s="75"/>
      <c r="B209" s="73"/>
      <c r="C209" s="73"/>
      <c r="D209" s="41" t="s">
        <v>105</v>
      </c>
      <c r="E209" s="42">
        <v>3717</v>
      </c>
    </row>
    <row r="210" spans="1:5" ht="13.9" customHeight="1" thickBot="1" x14ac:dyDescent="0.25">
      <c r="A210" s="76"/>
      <c r="B210" s="20" t="s">
        <v>20</v>
      </c>
      <c r="C210" s="21"/>
      <c r="D210" s="22"/>
      <c r="E210" s="33">
        <f>SUBTOTAL(9,E204:E209)</f>
        <v>2902739</v>
      </c>
    </row>
    <row r="211" spans="1:5" ht="12.75" thickBot="1" x14ac:dyDescent="0.25">
      <c r="A211" s="94" t="s">
        <v>5</v>
      </c>
      <c r="B211" s="95"/>
      <c r="C211" s="96"/>
      <c r="D211" s="11"/>
      <c r="E211" s="31">
        <f>E11+E64+E67+E69+E71+E73+E75+E77+E79+E81+E83+E85+E88+E91+E94+E98+E102+E105+E110+E114+E119+E124+E129+E134+E139+E144+E149+E154+E159+E164+E169+E174+E179+E184+E189+E194+E199+E203+E210</f>
        <v>88556340</v>
      </c>
    </row>
    <row r="212" spans="1:5" ht="12.75" thickBot="1" x14ac:dyDescent="0.25"/>
    <row r="213" spans="1:5" ht="12.75" thickBot="1" x14ac:dyDescent="0.25">
      <c r="B213" s="13" t="s">
        <v>7</v>
      </c>
      <c r="C213" s="88" t="s">
        <v>0</v>
      </c>
      <c r="D213" s="88"/>
      <c r="E213" s="9" t="s">
        <v>96</v>
      </c>
    </row>
    <row r="214" spans="1:5" x14ac:dyDescent="0.2">
      <c r="B214" s="14" t="s">
        <v>8</v>
      </c>
      <c r="C214" s="97" t="s">
        <v>86</v>
      </c>
      <c r="D214" s="97"/>
      <c r="E214" s="35">
        <f>E11+E16+E67</f>
        <v>8360862</v>
      </c>
    </row>
    <row r="215" spans="1:5" x14ac:dyDescent="0.2">
      <c r="B215" s="15" t="s">
        <v>9</v>
      </c>
      <c r="C215" s="83" t="s">
        <v>87</v>
      </c>
      <c r="D215" s="83"/>
      <c r="E215" s="36">
        <f>E20+E69+E71+E73+E75+E77+E79+E81+E83+E85</f>
        <v>4677868</v>
      </c>
    </row>
    <row r="216" spans="1:5" x14ac:dyDescent="0.2">
      <c r="B216" s="15" t="s">
        <v>10</v>
      </c>
      <c r="C216" s="83" t="s">
        <v>88</v>
      </c>
      <c r="D216" s="83"/>
      <c r="E216" s="36">
        <f>E25</f>
        <v>792482</v>
      </c>
    </row>
    <row r="217" spans="1:5" x14ac:dyDescent="0.2">
      <c r="B217" s="15" t="s">
        <v>11</v>
      </c>
      <c r="C217" s="83" t="s">
        <v>89</v>
      </c>
      <c r="D217" s="83"/>
      <c r="E217" s="36">
        <f>E33</f>
        <v>9957156</v>
      </c>
    </row>
    <row r="218" spans="1:5" x14ac:dyDescent="0.2">
      <c r="B218" s="15" t="s">
        <v>12</v>
      </c>
      <c r="C218" s="83" t="s">
        <v>90</v>
      </c>
      <c r="D218" s="83"/>
      <c r="E218" s="36">
        <f>E38</f>
        <v>9821105</v>
      </c>
    </row>
    <row r="219" spans="1:5" x14ac:dyDescent="0.2">
      <c r="B219" s="15" t="s">
        <v>13</v>
      </c>
      <c r="C219" s="83" t="s">
        <v>15</v>
      </c>
      <c r="D219" s="83"/>
      <c r="E219" s="36">
        <f>E41+E88</f>
        <v>770910</v>
      </c>
    </row>
    <row r="220" spans="1:5" x14ac:dyDescent="0.2">
      <c r="B220" s="15" t="s">
        <v>14</v>
      </c>
      <c r="C220" s="83" t="s">
        <v>91</v>
      </c>
      <c r="D220" s="83"/>
      <c r="E220" s="36">
        <f>E43+E91+E94+E98+E102+E105</f>
        <v>5311175</v>
      </c>
    </row>
    <row r="221" spans="1:5" x14ac:dyDescent="0.2">
      <c r="B221" s="15" t="s">
        <v>16</v>
      </c>
      <c r="C221" s="83" t="s">
        <v>92</v>
      </c>
      <c r="D221" s="83"/>
      <c r="E221" s="36">
        <f>E51+E110+E114+E119+E124+E129+E134+E139+E144+E149+E154+E159+E164+E169+E174+E179+E184+E189+E194+E199</f>
        <v>37192231</v>
      </c>
    </row>
    <row r="222" spans="1:5" x14ac:dyDescent="0.2">
      <c r="B222" s="15" t="s">
        <v>17</v>
      </c>
      <c r="C222" s="83" t="s">
        <v>93</v>
      </c>
      <c r="D222" s="83"/>
      <c r="E222" s="36">
        <f>E57+E203+E210</f>
        <v>10524463</v>
      </c>
    </row>
    <row r="223" spans="1:5" x14ac:dyDescent="0.2">
      <c r="B223" s="18">
        <v>10</v>
      </c>
      <c r="C223" s="98" t="s">
        <v>94</v>
      </c>
      <c r="D223" s="99"/>
      <c r="E223" s="37">
        <f>E59</f>
        <v>871000</v>
      </c>
    </row>
    <row r="224" spans="1:5" ht="12.75" thickBot="1" x14ac:dyDescent="0.25">
      <c r="B224" s="19">
        <v>11</v>
      </c>
      <c r="C224" s="84" t="s">
        <v>95</v>
      </c>
      <c r="D224" s="84"/>
      <c r="E224" s="38">
        <f>E63</f>
        <v>277088</v>
      </c>
    </row>
    <row r="225" spans="2:5" ht="12.75" thickBot="1" x14ac:dyDescent="0.25">
      <c r="B225" s="85" t="s">
        <v>5</v>
      </c>
      <c r="C225" s="86"/>
      <c r="D225" s="87"/>
      <c r="E225" s="39">
        <f t="shared" ref="E225" si="0">SUBTOTAL(9,E214:E224)</f>
        <v>88556340</v>
      </c>
    </row>
    <row r="226" spans="2:5" ht="10.9" customHeight="1" thickBot="1" x14ac:dyDescent="0.25"/>
    <row r="227" spans="2:5" ht="12.75" thickBot="1" x14ac:dyDescent="0.25">
      <c r="B227" s="16" t="s">
        <v>66</v>
      </c>
      <c r="C227" s="88" t="s">
        <v>0</v>
      </c>
      <c r="D227" s="88"/>
      <c r="E227" s="17" t="s">
        <v>96</v>
      </c>
    </row>
    <row r="228" spans="2:5" ht="24" customHeight="1" x14ac:dyDescent="0.2">
      <c r="B228" s="14" t="s">
        <v>1</v>
      </c>
      <c r="C228" s="89" t="s">
        <v>97</v>
      </c>
      <c r="D228" s="89"/>
      <c r="E228" s="65">
        <f>E10+E12+E17+E21+E26+E34+E39+E42+E44+E52+E58+E60+E65+E68+E70+E72+E74+E76+E78+E80+E82+E84+E86+E89+E92+E95+E99+E103+E106+E111+E115+E120+E125+E130+E135+E140+E145+E150+E155+E160+E165+E170+E175+E180+E185+E190+E195+E200+E204</f>
        <v>49144340</v>
      </c>
    </row>
    <row r="229" spans="2:5" x14ac:dyDescent="0.2">
      <c r="B229" s="15" t="s">
        <v>4</v>
      </c>
      <c r="C229" s="89" t="s">
        <v>98</v>
      </c>
      <c r="D229" s="89"/>
      <c r="E229" s="58">
        <f>E13+E18+E90+E93+E96+E100+E104+E107+E112+E116+E121+E126+E131+E136+E141+E146+E151+E156+E161+E166+E171+E176+E181+E186+E191+E196+E201+E205</f>
        <v>2451870</v>
      </c>
    </row>
    <row r="230" spans="2:5" ht="24.6" customHeight="1" x14ac:dyDescent="0.2">
      <c r="B230" s="15" t="s">
        <v>2</v>
      </c>
      <c r="C230" s="89" t="s">
        <v>24</v>
      </c>
      <c r="D230" s="89"/>
      <c r="E230" s="58">
        <f>E14+E22+E53+E62+E66+E87+E206</f>
        <v>4814697</v>
      </c>
    </row>
    <row r="231" spans="2:5" x14ac:dyDescent="0.2">
      <c r="B231" s="15" t="s">
        <v>158</v>
      </c>
      <c r="C231" s="92" t="s">
        <v>159</v>
      </c>
      <c r="D231" s="93"/>
      <c r="E231" s="58">
        <f>E37</f>
        <v>2390900</v>
      </c>
    </row>
    <row r="232" spans="2:5" x14ac:dyDescent="0.2">
      <c r="B232" s="15" t="s">
        <v>3</v>
      </c>
      <c r="C232" s="89" t="s">
        <v>99</v>
      </c>
      <c r="D232" s="89"/>
      <c r="E232" s="58">
        <f>E45+E49+E108+E113+E117+E122+E127+E132+E137+E142+E147+E152+E157+E162+E167+E172+E177+E182+E187+E192+E197+E50</f>
        <v>20977600</v>
      </c>
    </row>
    <row r="233" spans="2:5" x14ac:dyDescent="0.2">
      <c r="B233" s="15" t="s">
        <v>36</v>
      </c>
      <c r="C233" s="89" t="s">
        <v>155</v>
      </c>
      <c r="D233" s="89"/>
      <c r="E233" s="58">
        <f>E47+E55+E97+E118+E123+E128+E133+E138+E143+E148+E153+E158+E163+E168+E173+E178+E183+E188+E193+E198+E202+E207+E109+E31</f>
        <v>1878176</v>
      </c>
    </row>
    <row r="234" spans="2:5" x14ac:dyDescent="0.2">
      <c r="B234" s="15" t="s">
        <v>105</v>
      </c>
      <c r="C234" s="92" t="s">
        <v>156</v>
      </c>
      <c r="D234" s="93"/>
      <c r="E234" s="58">
        <f>E23+E30+E46+E54+E209</f>
        <v>538203</v>
      </c>
    </row>
    <row r="235" spans="2:5" x14ac:dyDescent="0.2">
      <c r="B235" s="15" t="s">
        <v>35</v>
      </c>
      <c r="C235" s="91" t="s">
        <v>23</v>
      </c>
      <c r="D235" s="91"/>
      <c r="E235" s="58">
        <f>E27</f>
        <v>1760000</v>
      </c>
    </row>
    <row r="236" spans="2:5" ht="25.5" customHeight="1" x14ac:dyDescent="0.2">
      <c r="B236" s="15" t="s">
        <v>43</v>
      </c>
      <c r="C236" s="89" t="s">
        <v>25</v>
      </c>
      <c r="D236" s="89"/>
      <c r="E236" s="58">
        <f>E15+E24+E32+E48+E56+E208+E101</f>
        <v>3093969</v>
      </c>
    </row>
    <row r="237" spans="2:5" ht="24" customHeight="1" x14ac:dyDescent="0.2">
      <c r="B237" s="15" t="s">
        <v>101</v>
      </c>
      <c r="C237" s="89" t="s">
        <v>157</v>
      </c>
      <c r="D237" s="89"/>
      <c r="E237" s="58">
        <f>E19+E29</f>
        <v>475000</v>
      </c>
    </row>
    <row r="238" spans="2:5" x14ac:dyDescent="0.2">
      <c r="B238" s="15" t="s">
        <v>38</v>
      </c>
      <c r="C238" s="89" t="s">
        <v>100</v>
      </c>
      <c r="D238" s="89"/>
      <c r="E238" s="58">
        <f>E35+E61</f>
        <v>327000</v>
      </c>
    </row>
    <row r="239" spans="2:5" x14ac:dyDescent="0.2">
      <c r="B239" s="15" t="s">
        <v>39</v>
      </c>
      <c r="C239" s="89" t="s">
        <v>26</v>
      </c>
      <c r="D239" s="89"/>
      <c r="E239" s="58">
        <f>E36+E40</f>
        <v>274585</v>
      </c>
    </row>
    <row r="240" spans="2:5" ht="25.15" customHeight="1" thickBot="1" x14ac:dyDescent="0.25">
      <c r="B240" s="18" t="s">
        <v>103</v>
      </c>
      <c r="C240" s="90" t="s">
        <v>106</v>
      </c>
      <c r="D240" s="90"/>
      <c r="E240" s="66">
        <f>E28</f>
        <v>430000</v>
      </c>
    </row>
    <row r="241" spans="2:5" ht="12.6" customHeight="1" thickBot="1" x14ac:dyDescent="0.25">
      <c r="B241" s="80" t="s">
        <v>5</v>
      </c>
      <c r="C241" s="81"/>
      <c r="D241" s="82"/>
      <c r="E241" s="40">
        <f>SUBTOTAL(9,E228:E240)</f>
        <v>88556340</v>
      </c>
    </row>
  </sheetData>
  <mergeCells count="138">
    <mergeCell ref="D4:E4"/>
    <mergeCell ref="D5:E5"/>
    <mergeCell ref="C17:C19"/>
    <mergeCell ref="C34:C37"/>
    <mergeCell ref="B95:B97"/>
    <mergeCell ref="B106:B109"/>
    <mergeCell ref="B111:B113"/>
    <mergeCell ref="C111:C113"/>
    <mergeCell ref="C44:C48"/>
    <mergeCell ref="B12:B63"/>
    <mergeCell ref="C12:C15"/>
    <mergeCell ref="C60:C62"/>
    <mergeCell ref="A7:E7"/>
    <mergeCell ref="A84:A85"/>
    <mergeCell ref="A86:A88"/>
    <mergeCell ref="A95:A98"/>
    <mergeCell ref="C95:C97"/>
    <mergeCell ref="B86:B87"/>
    <mergeCell ref="C86:C87"/>
    <mergeCell ref="B99:B101"/>
    <mergeCell ref="C99:C101"/>
    <mergeCell ref="B120:B123"/>
    <mergeCell ref="C120:C123"/>
    <mergeCell ref="B115:B118"/>
    <mergeCell ref="C115:C118"/>
    <mergeCell ref="A99:A102"/>
    <mergeCell ref="C103:C104"/>
    <mergeCell ref="B103:B104"/>
    <mergeCell ref="A103:A105"/>
    <mergeCell ref="C106:C109"/>
    <mergeCell ref="A111:A114"/>
    <mergeCell ref="A106:A110"/>
    <mergeCell ref="A115:A119"/>
    <mergeCell ref="A120:A124"/>
    <mergeCell ref="A125:A129"/>
    <mergeCell ref="A130:A134"/>
    <mergeCell ref="A145:A149"/>
    <mergeCell ref="B125:B128"/>
    <mergeCell ref="C125:C128"/>
    <mergeCell ref="B135:B138"/>
    <mergeCell ref="C135:C138"/>
    <mergeCell ref="B130:B133"/>
    <mergeCell ref="C130:C133"/>
    <mergeCell ref="B145:B148"/>
    <mergeCell ref="C145:C148"/>
    <mergeCell ref="B140:B143"/>
    <mergeCell ref="C140:C143"/>
    <mergeCell ref="A135:A139"/>
    <mergeCell ref="A140:A144"/>
    <mergeCell ref="A150:A154"/>
    <mergeCell ref="A165:A169"/>
    <mergeCell ref="A170:A174"/>
    <mergeCell ref="A175:A179"/>
    <mergeCell ref="A180:A184"/>
    <mergeCell ref="A190:A194"/>
    <mergeCell ref="B160:B163"/>
    <mergeCell ref="C160:C163"/>
    <mergeCell ref="B170:B173"/>
    <mergeCell ref="C170:C173"/>
    <mergeCell ref="B150:B153"/>
    <mergeCell ref="C150:C153"/>
    <mergeCell ref="B155:B158"/>
    <mergeCell ref="C155:C158"/>
    <mergeCell ref="B165:B168"/>
    <mergeCell ref="B190:B193"/>
    <mergeCell ref="C190:C193"/>
    <mergeCell ref="B185:B188"/>
    <mergeCell ref="C185:C188"/>
    <mergeCell ref="C237:D237"/>
    <mergeCell ref="A211:C211"/>
    <mergeCell ref="C213:D213"/>
    <mergeCell ref="C214:D214"/>
    <mergeCell ref="A155:A159"/>
    <mergeCell ref="A160:A164"/>
    <mergeCell ref="A195:A199"/>
    <mergeCell ref="A204:A210"/>
    <mergeCell ref="C200:C202"/>
    <mergeCell ref="B200:B202"/>
    <mergeCell ref="A200:A203"/>
    <mergeCell ref="B180:B183"/>
    <mergeCell ref="C180:C183"/>
    <mergeCell ref="B175:B178"/>
    <mergeCell ref="C175:C178"/>
    <mergeCell ref="C223:D223"/>
    <mergeCell ref="A185:A189"/>
    <mergeCell ref="C165:C168"/>
    <mergeCell ref="B195:B198"/>
    <mergeCell ref="C195:C198"/>
    <mergeCell ref="B204:B209"/>
    <mergeCell ref="C204:C209"/>
    <mergeCell ref="B241:D241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4:D224"/>
    <mergeCell ref="B225:D225"/>
    <mergeCell ref="C227:D227"/>
    <mergeCell ref="C238:D238"/>
    <mergeCell ref="C239:D239"/>
    <mergeCell ref="C240:D240"/>
    <mergeCell ref="C228:D228"/>
    <mergeCell ref="C229:D229"/>
    <mergeCell ref="C230:D230"/>
    <mergeCell ref="C232:D232"/>
    <mergeCell ref="C233:D233"/>
    <mergeCell ref="C235:D235"/>
    <mergeCell ref="C231:D231"/>
    <mergeCell ref="C236:D236"/>
    <mergeCell ref="C234:D234"/>
    <mergeCell ref="D1:E3"/>
    <mergeCell ref="A12:A64"/>
    <mergeCell ref="C89:C90"/>
    <mergeCell ref="B89:B90"/>
    <mergeCell ref="A89:A91"/>
    <mergeCell ref="C92:C93"/>
    <mergeCell ref="B92:B93"/>
    <mergeCell ref="A92:A94"/>
    <mergeCell ref="A10:A11"/>
    <mergeCell ref="A68:A69"/>
    <mergeCell ref="A70:A71"/>
    <mergeCell ref="A72:A73"/>
    <mergeCell ref="A74:A75"/>
    <mergeCell ref="A76:A77"/>
    <mergeCell ref="A78:A79"/>
    <mergeCell ref="A65:A67"/>
    <mergeCell ref="B65:B66"/>
    <mergeCell ref="C65:C66"/>
    <mergeCell ref="C52:C56"/>
    <mergeCell ref="C21:C24"/>
    <mergeCell ref="C26:C32"/>
    <mergeCell ref="C39:C40"/>
    <mergeCell ref="A80:A81"/>
    <mergeCell ref="A82:A83"/>
  </mergeCells>
  <conditionalFormatting sqref="E10:E184">
    <cfRule type="cellIs" dxfId="13" priority="3" stopIfTrue="1" operator="equal">
      <formula>0</formula>
    </cfRule>
  </conditionalFormatting>
  <conditionalFormatting sqref="E39 E117:E118 E157:E158">
    <cfRule type="cellIs" dxfId="12" priority="18" stopIfTrue="1" operator="equal">
      <formula>0</formula>
    </cfRule>
  </conditionalFormatting>
  <conditionalFormatting sqref="E56">
    <cfRule type="cellIs" dxfId="11" priority="17" stopIfTrue="1" operator="equal">
      <formula>0</formula>
    </cfRule>
  </conditionalFormatting>
  <conditionalFormatting sqref="E65:E66">
    <cfRule type="cellIs" dxfId="10" priority="4" stopIfTrue="1" operator="equal">
      <formula>0</formula>
    </cfRule>
  </conditionalFormatting>
  <conditionalFormatting sqref="E68 E70 E72 E74 E76 E78 E80 E82 E84 E86:E87 E89 E92 E95 E97 E99:E101 E103:E104 E106 E108:E109 E125 E127:E128 E130:E131 E135 E137:E138 E140 E142:E143 E145 E147:E148 E150 E152:E153 E155 E160:E161 E165:E168 E170 E172:E173 E175 E177:E178 E180:E181 E190:E193 E195:E196 E200:E202 E204:E209 E10 E12:E15 E228:E240">
    <cfRule type="cellIs" dxfId="9" priority="24" stopIfTrue="1" operator="equal">
      <formula>0</formula>
    </cfRule>
  </conditionalFormatting>
  <conditionalFormatting sqref="E111 E113">
    <cfRule type="cellIs" dxfId="8" priority="12" stopIfTrue="1" operator="equal">
      <formula>0</formula>
    </cfRule>
  </conditionalFormatting>
  <conditionalFormatting sqref="E115">
    <cfRule type="cellIs" dxfId="7" priority="10" stopIfTrue="1" operator="equal">
      <formula>0</formula>
    </cfRule>
  </conditionalFormatting>
  <conditionalFormatting sqref="E120 E122:E123">
    <cfRule type="cellIs" dxfId="6" priority="8" stopIfTrue="1" operator="equal">
      <formula>0</formula>
    </cfRule>
  </conditionalFormatting>
  <conditionalFormatting sqref="E185:E186">
    <cfRule type="cellIs" dxfId="5" priority="6" stopIfTrue="1" operator="equal">
      <formula>0</formula>
    </cfRule>
  </conditionalFormatting>
  <conditionalFormatting sqref="E185:E189">
    <cfRule type="cellIs" dxfId="4" priority="5" stopIfTrue="1" operator="equal">
      <formula>0</formula>
    </cfRule>
  </conditionalFormatting>
  <conditionalFormatting sqref="E190:E211">
    <cfRule type="cellIs" dxfId="3" priority="23" stopIfTrue="1" operator="equal">
      <formula>0</formula>
    </cfRule>
  </conditionalFormatting>
  <conditionalFormatting sqref="E211">
    <cfRule type="cellIs" dxfId="2" priority="20" stopIfTrue="1" operator="equal">
      <formula>0</formula>
    </cfRule>
  </conditionalFormatting>
  <conditionalFormatting sqref="E214:E225">
    <cfRule type="cellIs" dxfId="1" priority="15" stopIfTrue="1" operator="equal">
      <formula>0</formula>
    </cfRule>
  </conditionalFormatting>
  <conditionalFormatting sqref="E241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2025-08-12T12:32:31Z</dcterms:modified>
</cp:coreProperties>
</file>